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ýšky" sheetId="16" r:id="rId1"/>
    <sheet name="Tepelný odpor" sheetId="3" r:id="rId2"/>
    <sheet name="Teploty" sheetId="10" r:id="rId3"/>
    <sheet name="Tah" sheetId="7" r:id="rId4"/>
    <sheet name="Rychlost" sheetId="2" r:id="rId5"/>
    <sheet name="Objem vzduchu a spalin" sheetId="8" r:id="rId6"/>
    <sheet name="TPG 704 01" sheetId="4" r:id="rId7"/>
    <sheet name="Výkon vzduchu" sheetId="5" r:id="rId8"/>
    <sheet name="Tepelná kapacita" sheetId="14" r:id="rId9"/>
    <sheet name="Spalovací rovnice dřeva" sheetId="9" r:id="rId10"/>
    <sheet name="Přepočet ppm" sheetId="11" r:id="rId11"/>
    <sheet name="Tlak" sheetId="12" r:id="rId12"/>
    <sheet name="Dilatace" sheetId="13" r:id="rId13"/>
    <sheet name="Kruh x čtverec" sheetId="15" r:id="rId14"/>
    <sheet name="Ind.komín" sheetId="6" r:id="rId15"/>
  </sheets>
  <calcPr calcId="152511"/>
</workbook>
</file>

<file path=xl/calcChain.xml><?xml version="1.0" encoding="utf-8"?>
<calcChain xmlns="http://schemas.openxmlformats.org/spreadsheetml/2006/main">
  <c r="B36" i="16" l="1"/>
  <c r="B35" i="16"/>
  <c r="B37" i="16" s="1"/>
  <c r="B29" i="16"/>
  <c r="B30" i="16" s="1"/>
  <c r="B23" i="16"/>
  <c r="D22" i="16" s="1"/>
  <c r="B21" i="16"/>
  <c r="D20" i="16" s="1"/>
  <c r="D19" i="16"/>
  <c r="B16" i="16"/>
  <c r="B11" i="16"/>
  <c r="B5" i="16"/>
  <c r="B6" i="16" s="1"/>
  <c r="B38" i="16" l="1"/>
  <c r="H20" i="14"/>
  <c r="F20" i="14"/>
  <c r="D20" i="14" s="1"/>
  <c r="D36" i="14"/>
  <c r="D30" i="14"/>
  <c r="I44" i="6" l="1"/>
  <c r="O19" i="10" l="1"/>
  <c r="M8" i="10"/>
  <c r="Y18" i="10" s="1"/>
  <c r="Y3" i="10"/>
  <c r="AA3" i="10" s="1"/>
  <c r="O18" i="10" l="1"/>
  <c r="AA20" i="10" s="1"/>
  <c r="AA21" i="10" s="1"/>
  <c r="AA12" i="10" s="1"/>
  <c r="E15" i="2"/>
  <c r="AA11" i="10" l="1"/>
  <c r="AA22" i="10"/>
  <c r="AA13" i="10" s="1"/>
  <c r="E30" i="15"/>
  <c r="E27" i="15"/>
  <c r="E25" i="15"/>
  <c r="E22" i="15"/>
  <c r="E20" i="15"/>
  <c r="AA23" i="10" l="1"/>
  <c r="AA14" i="10" s="1"/>
  <c r="G9" i="10"/>
  <c r="F55" i="14"/>
  <c r="H55" i="14" s="1"/>
  <c r="I55" i="14" s="1"/>
  <c r="F54" i="14"/>
  <c r="H54" i="14" s="1"/>
  <c r="I54" i="14" s="1"/>
  <c r="F53" i="14"/>
  <c r="H53" i="14" s="1"/>
  <c r="I53" i="14" s="1"/>
  <c r="F52" i="14"/>
  <c r="H52" i="14" s="1"/>
  <c r="I52" i="14" s="1"/>
  <c r="F51" i="14"/>
  <c r="H51" i="14" s="1"/>
  <c r="I51" i="14" s="1"/>
  <c r="F50" i="14"/>
  <c r="H50" i="14" s="1"/>
  <c r="I50" i="14" s="1"/>
  <c r="F49" i="14"/>
  <c r="H49" i="14" s="1"/>
  <c r="I49" i="14" s="1"/>
  <c r="F48" i="14"/>
  <c r="H48" i="14" s="1"/>
  <c r="I48" i="14" s="1"/>
  <c r="F47" i="14"/>
  <c r="H47" i="14" s="1"/>
  <c r="I47" i="14" s="1"/>
  <c r="E27" i="14"/>
  <c r="E38" i="14" s="1"/>
  <c r="E33" i="14" l="1"/>
  <c r="E34" i="14" s="1"/>
  <c r="E28" i="14"/>
  <c r="F13" i="10"/>
  <c r="H13" i="10" s="1"/>
  <c r="E17" i="13"/>
  <c r="E18" i="13" s="1"/>
  <c r="D11" i="12"/>
  <c r="C76" i="9" l="1"/>
  <c r="G8" i="8"/>
  <c r="D12" i="12"/>
  <c r="T9" i="10" l="1"/>
  <c r="E16" i="12" l="1"/>
  <c r="E18" i="12" l="1"/>
  <c r="E19" i="12" s="1"/>
  <c r="U18" i="10"/>
  <c r="U3" i="10" l="1"/>
  <c r="U19" i="10"/>
  <c r="U5" i="10" s="1"/>
  <c r="U6" i="10"/>
  <c r="O20" i="10"/>
  <c r="AA25" i="10" s="1"/>
  <c r="U4" i="10" l="1"/>
  <c r="O6" i="10"/>
  <c r="AA16" i="10" s="1"/>
  <c r="O3" i="10"/>
  <c r="C33" i="10"/>
  <c r="E20" i="11" l="1"/>
  <c r="D16" i="11" s="1"/>
  <c r="D17" i="11"/>
  <c r="E25" i="11" l="1"/>
  <c r="E27" i="11"/>
  <c r="C27" i="10"/>
  <c r="E12" i="7" l="1"/>
  <c r="C45" i="10" l="1"/>
  <c r="C21" i="10" l="1"/>
  <c r="C39" i="10" l="1"/>
  <c r="C93" i="9" l="1"/>
  <c r="I86" i="9"/>
  <c r="F86" i="9"/>
  <c r="F85" i="9"/>
  <c r="F84" i="9"/>
  <c r="H73" i="9" l="1"/>
  <c r="H69" i="9"/>
  <c r="F50" i="9"/>
  <c r="F40" i="9"/>
  <c r="H13" i="9"/>
  <c r="H12" i="9"/>
  <c r="H10" i="9"/>
  <c r="H9" i="9"/>
  <c r="I85" i="9" s="1"/>
  <c r="H8" i="9"/>
  <c r="F61" i="9" l="1"/>
  <c r="F71" i="9" s="1"/>
  <c r="F44" i="9"/>
  <c r="F65" i="9" s="1"/>
  <c r="F67" i="9" s="1"/>
  <c r="I84" i="9"/>
  <c r="C62" i="8"/>
  <c r="F87" i="9" l="1"/>
  <c r="F88" i="9"/>
  <c r="F89" i="9"/>
  <c r="F75" i="9"/>
  <c r="F78" i="9" s="1"/>
  <c r="I87" i="9"/>
  <c r="I88" i="9"/>
  <c r="C45" i="8"/>
  <c r="I89" i="9" l="1"/>
  <c r="F94" i="9" s="1"/>
  <c r="E13" i="7"/>
  <c r="F97" i="9" l="1"/>
  <c r="F98" i="9" s="1"/>
  <c r="F100" i="9"/>
  <c r="C19" i="7"/>
  <c r="D35" i="7"/>
  <c r="H12" i="7"/>
  <c r="X30" i="3"/>
  <c r="E7" i="2" l="1"/>
  <c r="D12" i="2" l="1"/>
  <c r="G24" i="2" s="1"/>
  <c r="L15" i="3"/>
  <c r="D8" i="8" l="1"/>
  <c r="G7" i="8"/>
  <c r="D7" i="8" s="1"/>
  <c r="G26" i="8" l="1"/>
  <c r="E59" i="8" s="1"/>
  <c r="C30" i="8"/>
  <c r="C31" i="8" s="1"/>
  <c r="C32" i="8" s="1"/>
  <c r="C19" i="8"/>
  <c r="C20" i="8" s="1"/>
  <c r="C46" i="8" l="1"/>
  <c r="C47" i="8" s="1"/>
  <c r="C48" i="8" s="1"/>
  <c r="C63" i="8"/>
  <c r="C64" i="8" s="1"/>
  <c r="C55" i="3"/>
  <c r="D57" i="3" s="1"/>
  <c r="AA28" i="3" l="1"/>
  <c r="Z28" i="3"/>
  <c r="Y28" i="3"/>
  <c r="X28" i="3"/>
  <c r="W28" i="3"/>
  <c r="V28" i="3"/>
  <c r="U28" i="3"/>
  <c r="U29" i="3" l="1"/>
  <c r="C41" i="3"/>
  <c r="C40" i="3"/>
  <c r="C39" i="3"/>
  <c r="C44" i="3" l="1"/>
  <c r="D43" i="3"/>
  <c r="C46" i="3" s="1"/>
  <c r="G28" i="7"/>
  <c r="D31" i="7"/>
  <c r="E73" i="8"/>
  <c r="C75" i="8" s="1"/>
  <c r="C10" i="8" l="1"/>
  <c r="C65" i="8" s="1"/>
  <c r="C66" i="8" s="1"/>
  <c r="D32" i="7"/>
  <c r="C38" i="7" s="1"/>
  <c r="E44" i="3"/>
  <c r="D16" i="2" l="1"/>
  <c r="G21" i="2" s="1"/>
  <c r="F23" i="2" s="1"/>
  <c r="F22" i="2" l="1"/>
  <c r="G20" i="2"/>
  <c r="H25" i="2"/>
  <c r="C76" i="5"/>
  <c r="G65" i="5"/>
  <c r="C61" i="5" s="1"/>
  <c r="C59" i="5" s="1"/>
  <c r="D67" i="5" s="1"/>
  <c r="C75" i="5" s="1"/>
  <c r="D78" i="5" s="1"/>
  <c r="D79" i="5" s="1"/>
  <c r="D80" i="5" s="1"/>
  <c r="D82" i="5" s="1"/>
  <c r="G64" i="5"/>
  <c r="H57" i="5"/>
  <c r="C34" i="5"/>
  <c r="G23" i="5"/>
  <c r="G22" i="5"/>
  <c r="H15" i="5"/>
  <c r="H26" i="2" l="1"/>
  <c r="C19" i="5"/>
  <c r="C17" i="5" s="1"/>
  <c r="D25" i="5" s="1"/>
  <c r="C33" i="5" l="1"/>
  <c r="D36" i="5" s="1"/>
  <c r="D37" i="5" s="1"/>
  <c r="D38" i="5" s="1"/>
  <c r="D40" i="5" s="1"/>
  <c r="C51" i="4"/>
  <c r="H46" i="4" l="1"/>
  <c r="H45" i="4"/>
  <c r="H44" i="4"/>
  <c r="C29" i="4"/>
  <c r="C18" i="4"/>
  <c r="C11" i="4"/>
  <c r="H47" i="4" l="1"/>
  <c r="G53" i="4" s="1"/>
  <c r="C63" i="4" s="1"/>
  <c r="E20" i="4"/>
  <c r="F64" i="4" l="1"/>
  <c r="F65" i="4"/>
  <c r="C75" i="4"/>
  <c r="L13" i="3"/>
  <c r="P12" i="3" l="1"/>
  <c r="K36" i="3"/>
  <c r="F77" i="4"/>
  <c r="F76" i="4"/>
  <c r="K37" i="3"/>
  <c r="H24" i="3"/>
  <c r="H21" i="3"/>
  <c r="H18" i="3"/>
  <c r="N38" i="3" s="1"/>
  <c r="H15" i="3"/>
  <c r="N37" i="3" s="1"/>
  <c r="H12" i="3"/>
  <c r="R37" i="3" l="1"/>
  <c r="P13" i="3"/>
  <c r="L28" i="3" s="1"/>
  <c r="N36" i="3"/>
  <c r="R36" i="3" s="1"/>
  <c r="L18" i="3"/>
  <c r="K38" i="3" s="1"/>
  <c r="R38" i="3" s="1"/>
  <c r="P15" i="3"/>
  <c r="P16" i="3" s="1"/>
  <c r="M28" i="3" s="1"/>
  <c r="I28" i="3"/>
  <c r="H28" i="3"/>
  <c r="G28" i="3"/>
  <c r="F28" i="3"/>
  <c r="E28" i="3"/>
  <c r="D28" i="3"/>
  <c r="C28" i="3"/>
  <c r="P18" i="3" l="1"/>
  <c r="P19" i="3" s="1"/>
  <c r="N28" i="3" s="1"/>
  <c r="L21" i="3"/>
  <c r="C29" i="3"/>
  <c r="G29" i="3" s="1"/>
  <c r="P21" i="3" l="1"/>
  <c r="P22" i="3" s="1"/>
  <c r="O28" i="3" s="1"/>
  <c r="L24" i="3"/>
  <c r="P24" i="3" s="1"/>
  <c r="P25" i="3" s="1"/>
  <c r="P28" i="3" s="1"/>
  <c r="L29" i="3" l="1"/>
  <c r="P29" i="3" s="1"/>
  <c r="F12" i="2" l="1"/>
  <c r="O5" i="10"/>
  <c r="O4" i="10"/>
  <c r="AA24" i="10"/>
  <c r="AA15" i="10" s="1"/>
</calcChain>
</file>

<file path=xl/sharedStrings.xml><?xml version="1.0" encoding="utf-8"?>
<sst xmlns="http://schemas.openxmlformats.org/spreadsheetml/2006/main" count="1605" uniqueCount="827">
  <si>
    <t>vzorec</t>
  </si>
  <si>
    <t>h =</t>
  </si>
  <si>
    <t>g =</t>
  </si>
  <si>
    <t>m</t>
  </si>
  <si>
    <t>kg/m3</t>
  </si>
  <si>
    <t>(exteriér - interiér)</t>
  </si>
  <si>
    <t>hustota vzduchu</t>
  </si>
  <si>
    <t>ΔPtv</t>
  </si>
  <si>
    <t xml:space="preserve"> =</t>
  </si>
  <si>
    <t>výška h =</t>
  </si>
  <si>
    <t>°C</t>
  </si>
  <si>
    <t>Pa</t>
  </si>
  <si>
    <t>Tepelný odpor</t>
  </si>
  <si>
    <t>m2.K/W</t>
  </si>
  <si>
    <r>
      <t>R</t>
    </r>
    <r>
      <rPr>
        <sz val="6"/>
        <color theme="1"/>
        <rFont val="Calibri"/>
        <family val="2"/>
        <charset val="238"/>
      </rPr>
      <t>K</t>
    </r>
    <r>
      <rPr>
        <sz val="11"/>
        <color theme="1"/>
        <rFont val="Calibri"/>
        <family val="2"/>
        <charset val="238"/>
      </rPr>
      <t xml:space="preserve"> =</t>
    </r>
  </si>
  <si>
    <t>celkový tepelný odpor komínu</t>
  </si>
  <si>
    <r>
      <t>R</t>
    </r>
    <r>
      <rPr>
        <b/>
        <sz val="8"/>
        <color theme="1"/>
        <rFont val="Calibri"/>
        <family val="2"/>
        <charset val="238"/>
      </rPr>
      <t>K</t>
    </r>
    <r>
      <rPr>
        <b/>
        <sz val="20"/>
        <color theme="1"/>
        <rFont val="Calibri"/>
        <family val="2"/>
        <charset val="238"/>
      </rPr>
      <t xml:space="preserve"> = ƩR</t>
    </r>
    <r>
      <rPr>
        <b/>
        <sz val="8"/>
        <color theme="1"/>
        <rFont val="Calibri"/>
        <family val="2"/>
        <charset val="238"/>
      </rPr>
      <t>1-N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E</t>
    </r>
    <r>
      <rPr>
        <b/>
        <sz val="20"/>
        <color theme="1"/>
        <rFont val="Calibri"/>
        <family val="2"/>
        <charset val="238"/>
      </rPr>
      <t xml:space="preserve"> = Ʃd</t>
    </r>
    <r>
      <rPr>
        <b/>
        <sz val="8"/>
        <color theme="1"/>
        <rFont val="Calibri"/>
        <family val="2"/>
        <charset val="238"/>
      </rPr>
      <t>1-N</t>
    </r>
    <r>
      <rPr>
        <b/>
        <sz val="20"/>
        <color theme="1"/>
        <rFont val="Calibri"/>
        <family val="2"/>
        <charset val="238"/>
      </rPr>
      <t>/λ</t>
    </r>
    <r>
      <rPr>
        <b/>
        <sz val="8"/>
        <color theme="1"/>
        <rFont val="Calibri"/>
        <family val="2"/>
        <charset val="238"/>
      </rPr>
      <t>1-N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E</t>
    </r>
  </si>
  <si>
    <r>
      <t>R</t>
    </r>
    <r>
      <rPr>
        <sz val="6"/>
        <color theme="1"/>
        <rFont val="Calibri"/>
        <family val="2"/>
        <charset val="238"/>
      </rPr>
      <t>1-N</t>
    </r>
    <r>
      <rPr>
        <sz val="11"/>
        <color theme="1"/>
        <rFont val="Calibri"/>
        <family val="2"/>
        <charset val="238"/>
      </rPr>
      <t xml:space="preserve"> =</t>
    </r>
  </si>
  <si>
    <t>tepelný odpor jednotlivých vrstev</t>
  </si>
  <si>
    <r>
      <t>R</t>
    </r>
    <r>
      <rPr>
        <sz val="6"/>
        <color theme="1"/>
        <rFont val="Calibri"/>
        <family val="2"/>
        <charset val="238"/>
      </rPr>
      <t>E</t>
    </r>
    <r>
      <rPr>
        <sz val="11"/>
        <color theme="1"/>
        <rFont val="Calibri"/>
        <family val="2"/>
        <charset val="238"/>
      </rPr>
      <t xml:space="preserve"> =</t>
    </r>
  </si>
  <si>
    <r>
      <t>R</t>
    </r>
    <r>
      <rPr>
        <sz val="6"/>
        <color theme="1"/>
        <rFont val="Calibri"/>
        <family val="2"/>
        <charset val="238"/>
      </rPr>
      <t>I</t>
    </r>
    <r>
      <rPr>
        <sz val="11"/>
        <color theme="1"/>
        <rFont val="Calibri"/>
        <family val="2"/>
        <charset val="238"/>
      </rPr>
      <t xml:space="preserve"> =</t>
    </r>
  </si>
  <si>
    <t>tloušťka jednotlivých vrstev</t>
  </si>
  <si>
    <t>W/m.K</t>
  </si>
  <si>
    <r>
      <t>d</t>
    </r>
    <r>
      <rPr>
        <sz val="6"/>
        <color theme="1"/>
        <rFont val="Calibri"/>
        <family val="2"/>
        <charset val="238"/>
      </rPr>
      <t>1-N</t>
    </r>
    <r>
      <rPr>
        <sz val="11"/>
        <color theme="1"/>
        <rFont val="Calibri"/>
        <family val="2"/>
        <charset val="238"/>
      </rPr>
      <t xml:space="preserve"> =</t>
    </r>
  </si>
  <si>
    <r>
      <t>λ</t>
    </r>
    <r>
      <rPr>
        <sz val="6"/>
        <color theme="1"/>
        <rFont val="Calibri"/>
        <family val="2"/>
        <charset val="238"/>
      </rPr>
      <t>1-N</t>
    </r>
    <r>
      <rPr>
        <sz val="11"/>
        <color theme="1"/>
        <rFont val="Calibri"/>
        <family val="2"/>
        <charset val="238"/>
      </rPr>
      <t xml:space="preserve"> =</t>
    </r>
  </si>
  <si>
    <t>součinitel tepelné vodivosti jednotlivých vrstev</t>
  </si>
  <si>
    <t>vrstva 1 - z vnitřku ven</t>
  </si>
  <si>
    <t>d1 =</t>
  </si>
  <si>
    <t>λ1 =</t>
  </si>
  <si>
    <t>vrstva 2 - z vnitřku ven</t>
  </si>
  <si>
    <t>d2 =</t>
  </si>
  <si>
    <t>λ2 =</t>
  </si>
  <si>
    <t>vrstva 3 - z vnitřku ven</t>
  </si>
  <si>
    <t>d3 =</t>
  </si>
  <si>
    <t>λ3 =</t>
  </si>
  <si>
    <t>vrstva 4 - z vnitřku ven</t>
  </si>
  <si>
    <t>d4 =</t>
  </si>
  <si>
    <t>λ4 =</t>
  </si>
  <si>
    <t>vrstva 5 - z vnitřku ven</t>
  </si>
  <si>
    <t>d5 =</t>
  </si>
  <si>
    <t>λ5 =</t>
  </si>
  <si>
    <t>R3 = d3/λ3 =</t>
  </si>
  <si>
    <t>R4 = d4/λ4 =</t>
  </si>
  <si>
    <t>R5 = d5/λ5 =</t>
  </si>
  <si>
    <t>materiál</t>
  </si>
  <si>
    <t>R1</t>
  </si>
  <si>
    <t>R2</t>
  </si>
  <si>
    <t>R3</t>
  </si>
  <si>
    <t>R4</t>
  </si>
  <si>
    <t>R5</t>
  </si>
  <si>
    <t>RI</t>
  </si>
  <si>
    <t>RE</t>
  </si>
  <si>
    <r>
      <t>R</t>
    </r>
    <r>
      <rPr>
        <b/>
        <sz val="8"/>
        <color theme="1"/>
        <rFont val="Calibri"/>
        <family val="2"/>
        <charset val="238"/>
      </rPr>
      <t>K</t>
    </r>
  </si>
  <si>
    <t>světlost komínu nebo komínové vložky</t>
  </si>
  <si>
    <t>vnitřní hydraulický průměr jednotlivých stěn</t>
  </si>
  <si>
    <r>
      <t>R</t>
    </r>
    <r>
      <rPr>
        <sz val="6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</si>
  <si>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R</t>
    </r>
    <r>
      <rPr>
        <sz val="6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</si>
  <si>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</si>
  <si>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h.n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</si>
  <si>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vnitřní průměr vložky</t>
  </si>
  <si>
    <t>vnitřní hydraulický průměr stěny - 5</t>
  </si>
  <si>
    <t>vnitřní hydraulický průměr stěny - 2</t>
  </si>
  <si>
    <t>vnitřní hydraulický průměr stěny - 3</t>
  </si>
  <si>
    <t>vnitřní hydraulický průměr stěny - 4</t>
  </si>
  <si>
    <r>
      <t>R</t>
    </r>
    <r>
      <rPr>
        <b/>
        <sz val="8"/>
        <color theme="1"/>
        <rFont val="Calibri"/>
        <family val="2"/>
        <charset val="238"/>
        <scheme val="minor"/>
      </rPr>
      <t>K</t>
    </r>
    <r>
      <rPr>
        <b/>
        <sz val="20"/>
        <color theme="1"/>
        <rFont val="Calibri"/>
        <family val="2"/>
        <charset val="238"/>
        <scheme val="minor"/>
      </rPr>
      <t xml:space="preserve"> = D</t>
    </r>
    <r>
      <rPr>
        <b/>
        <sz val="8"/>
        <color theme="1"/>
        <rFont val="Calibri"/>
        <family val="2"/>
        <charset val="238"/>
        <scheme val="minor"/>
      </rPr>
      <t>h</t>
    </r>
    <r>
      <rPr>
        <b/>
        <sz val="20"/>
        <color theme="1"/>
        <rFont val="Calibri"/>
        <family val="2"/>
        <charset val="238"/>
        <scheme val="minor"/>
      </rPr>
      <t xml:space="preserve"> . Ʃ(R</t>
    </r>
    <r>
      <rPr>
        <b/>
        <sz val="8"/>
        <color theme="1"/>
        <rFont val="Calibri"/>
        <family val="2"/>
        <charset val="238"/>
        <scheme val="minor"/>
      </rPr>
      <t>n</t>
    </r>
    <r>
      <rPr>
        <b/>
        <sz val="20"/>
        <color theme="1"/>
        <rFont val="Calibri"/>
        <family val="2"/>
        <charset val="238"/>
        <scheme val="minor"/>
      </rPr>
      <t>/D</t>
    </r>
    <r>
      <rPr>
        <b/>
        <sz val="8"/>
        <color theme="1"/>
        <rFont val="Calibri"/>
        <family val="2"/>
        <charset val="238"/>
        <scheme val="minor"/>
      </rPr>
      <t>h.n</t>
    </r>
    <r>
      <rPr>
        <b/>
        <sz val="20"/>
        <color theme="1"/>
        <rFont val="Calibri"/>
        <family val="2"/>
        <charset val="238"/>
        <scheme val="minor"/>
      </rPr>
      <t xml:space="preserve">) = </t>
    </r>
    <r>
      <rPr>
        <b/>
        <sz val="20"/>
        <color theme="1"/>
        <rFont val="Calibri"/>
        <family val="2"/>
        <charset val="238"/>
      </rPr>
      <t>Ʃ(D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h.n</t>
    </r>
    <r>
      <rPr>
        <b/>
        <sz val="20"/>
        <color theme="1"/>
        <rFont val="Calibri"/>
        <family val="2"/>
        <charset val="238"/>
      </rPr>
      <t>.R</t>
    </r>
    <r>
      <rPr>
        <b/>
        <sz val="8"/>
        <color theme="1"/>
        <rFont val="Calibri"/>
        <family val="2"/>
        <charset val="238"/>
      </rPr>
      <t>n</t>
    </r>
    <r>
      <rPr>
        <b/>
        <sz val="20"/>
        <color theme="1"/>
        <rFont val="Calibri"/>
        <family val="2"/>
        <charset val="238"/>
      </rPr>
      <t>)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</si>
  <si>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h.1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</si>
  <si>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</si>
  <si>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h.3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</si>
  <si>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h.4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</si>
  <si>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h.5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</si>
  <si>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h.1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1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</si>
  <si>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h.2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2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</si>
  <si>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h.3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3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</si>
  <si>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h.4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4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</si>
  <si>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h.5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5</t>
    </r>
  </si>
  <si>
    <t>Výpočet dle EN 15287-1+A1</t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</si>
  <si>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h.3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</si>
  <si>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h.2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</si>
  <si>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h.1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>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</si>
  <si>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h.4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</si>
  <si>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>/D</t>
    </r>
    <r>
      <rPr>
        <sz val="6"/>
        <color theme="1"/>
        <rFont val="Calibri"/>
        <family val="2"/>
        <charset val="238"/>
        <scheme val="minor"/>
      </rPr>
      <t>h.5</t>
    </r>
    <r>
      <rPr>
        <sz val="11"/>
        <color theme="1"/>
        <rFont val="Calibri"/>
        <family val="2"/>
        <charset val="238"/>
        <scheme val="minor"/>
      </rPr>
      <t>.R</t>
    </r>
    <r>
      <rPr>
        <sz val="6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</si>
  <si>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výpočtový =</t>
  </si>
  <si>
    <r>
      <t>D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 = D</t>
    </r>
    <r>
      <rPr>
        <sz val="6"/>
        <color theme="1"/>
        <rFont val="Calibri"/>
        <family val="2"/>
        <charset val="238"/>
        <scheme val="minor"/>
      </rPr>
      <t>h.1</t>
    </r>
  </si>
  <si>
    <r>
      <t>D</t>
    </r>
    <r>
      <rPr>
        <sz val="6"/>
        <color theme="1"/>
        <rFont val="Calibri"/>
        <family val="2"/>
        <charset val="238"/>
        <scheme val="minor"/>
      </rPr>
      <t xml:space="preserve">h.2 </t>
    </r>
    <r>
      <rPr>
        <sz val="11"/>
        <color theme="1"/>
        <rFont val="Calibri"/>
        <family val="2"/>
        <charset val="238"/>
        <scheme val="minor"/>
      </rPr>
      <t>=</t>
    </r>
  </si>
  <si>
    <r>
      <t>D</t>
    </r>
    <r>
      <rPr>
        <sz val="6"/>
        <color theme="1"/>
        <rFont val="Calibri"/>
        <family val="2"/>
        <charset val="238"/>
        <scheme val="minor"/>
      </rPr>
      <t xml:space="preserve">h.5 </t>
    </r>
    <r>
      <rPr>
        <sz val="11"/>
        <color theme="1"/>
        <rFont val="Calibri"/>
        <family val="2"/>
        <charset val="238"/>
        <scheme val="minor"/>
      </rPr>
      <t>=</t>
    </r>
  </si>
  <si>
    <r>
      <t>D</t>
    </r>
    <r>
      <rPr>
        <sz val="6"/>
        <color theme="1"/>
        <rFont val="Calibri"/>
        <family val="2"/>
        <charset val="238"/>
        <scheme val="minor"/>
      </rPr>
      <t xml:space="preserve">h.3 </t>
    </r>
    <r>
      <rPr>
        <sz val="11"/>
        <color theme="1"/>
        <rFont val="Calibri"/>
        <family val="2"/>
        <charset val="238"/>
        <scheme val="minor"/>
      </rPr>
      <t>=</t>
    </r>
  </si>
  <si>
    <r>
      <t>D</t>
    </r>
    <r>
      <rPr>
        <sz val="6"/>
        <color theme="1"/>
        <rFont val="Calibri"/>
        <family val="2"/>
        <charset val="238"/>
        <scheme val="minor"/>
      </rPr>
      <t xml:space="preserve">h.4 </t>
    </r>
    <r>
      <rPr>
        <sz val="11"/>
        <color theme="1"/>
        <rFont val="Calibri"/>
        <family val="2"/>
        <charset val="238"/>
        <scheme val="minor"/>
      </rPr>
      <t>=</t>
    </r>
  </si>
  <si>
    <r>
      <rPr>
        <b/>
        <sz val="20"/>
        <color theme="1"/>
        <rFont val="Calibri"/>
        <family val="2"/>
        <charset val="238"/>
        <scheme val="minor"/>
      </rPr>
      <t>R</t>
    </r>
    <r>
      <rPr>
        <b/>
        <sz val="8"/>
        <color theme="1"/>
        <rFont val="Calibri"/>
        <family val="2"/>
        <charset val="238"/>
        <scheme val="minor"/>
      </rPr>
      <t>k</t>
    </r>
  </si>
  <si>
    <r>
      <t>R</t>
    </r>
    <r>
      <rPr>
        <b/>
        <sz val="8"/>
        <color theme="1"/>
        <rFont val="Calibri"/>
        <family val="2"/>
        <charset val="238"/>
        <scheme val="minor"/>
      </rPr>
      <t>k</t>
    </r>
  </si>
  <si>
    <t>konst.</t>
  </si>
  <si>
    <t xml:space="preserve">tepelný odpor přestupu tepla vnitřní = </t>
  </si>
  <si>
    <t>tepelný odpor přestupu tepla vnější =</t>
  </si>
  <si>
    <r>
      <t>Porovnání výpočtu R</t>
    </r>
    <r>
      <rPr>
        <b/>
        <sz val="8"/>
        <color theme="1"/>
        <rFont val="Calibri"/>
        <family val="2"/>
        <charset val="238"/>
        <scheme val="minor"/>
      </rPr>
      <t>n</t>
    </r>
  </si>
  <si>
    <r>
      <t>R</t>
    </r>
    <r>
      <rPr>
        <sz val="6"/>
        <color theme="1"/>
        <rFont val="Calibri"/>
        <family val="2"/>
        <charset val="238"/>
      </rPr>
      <t xml:space="preserve">1 </t>
    </r>
    <r>
      <rPr>
        <sz val="11"/>
        <color theme="1"/>
        <rFont val="Calibri"/>
        <family val="2"/>
        <charset val="238"/>
      </rPr>
      <t>= d</t>
    </r>
    <r>
      <rPr>
        <sz val="6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>/λ</t>
    </r>
    <r>
      <rPr>
        <sz val="6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=</t>
    </r>
  </si>
  <si>
    <r>
      <t>R</t>
    </r>
    <r>
      <rPr>
        <sz val="6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 d</t>
    </r>
    <r>
      <rPr>
        <sz val="6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/λ</t>
    </r>
    <r>
      <rPr>
        <sz val="6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</t>
    </r>
  </si>
  <si>
    <t>y =</t>
  </si>
  <si>
    <t>součinitel tvaru</t>
  </si>
  <si>
    <t>R1 =</t>
  </si>
  <si>
    <t>R2 =</t>
  </si>
  <si>
    <t>R3 =</t>
  </si>
  <si>
    <t>R4 =</t>
  </si>
  <si>
    <t>R5 =</t>
  </si>
  <si>
    <t>1,0 kruh; 1,1 hranatý</t>
  </si>
  <si>
    <r>
      <t>R</t>
    </r>
    <r>
      <rPr>
        <b/>
        <sz val="8"/>
        <color theme="1"/>
        <rFont val="Calibri"/>
        <family val="2"/>
        <charset val="238"/>
        <scheme val="minor"/>
      </rPr>
      <t xml:space="preserve">n </t>
    </r>
    <r>
      <rPr>
        <b/>
        <sz val="20"/>
        <color theme="1"/>
        <rFont val="Calibri"/>
        <family val="2"/>
        <charset val="238"/>
        <scheme val="minor"/>
      </rPr>
      <t>= y . D</t>
    </r>
    <r>
      <rPr>
        <b/>
        <sz val="8"/>
        <color theme="1"/>
        <rFont val="Calibri"/>
        <family val="2"/>
        <charset val="238"/>
        <scheme val="minor"/>
      </rPr>
      <t>h.n</t>
    </r>
    <r>
      <rPr>
        <b/>
        <sz val="20"/>
        <color theme="1"/>
        <rFont val="Calibri"/>
        <family val="2"/>
        <charset val="238"/>
        <scheme val="minor"/>
      </rPr>
      <t>/(2.</t>
    </r>
    <r>
      <rPr>
        <b/>
        <sz val="20"/>
        <color theme="1"/>
        <rFont val="Calibri"/>
        <family val="2"/>
        <charset val="238"/>
      </rPr>
      <t>λ</t>
    </r>
    <r>
      <rPr>
        <b/>
        <sz val="8"/>
        <color theme="1"/>
        <rFont val="Calibri"/>
        <family val="2"/>
        <charset val="238"/>
      </rPr>
      <t>n</t>
    </r>
    <r>
      <rPr>
        <b/>
        <sz val="20"/>
        <color theme="1"/>
        <rFont val="Calibri"/>
        <family val="2"/>
        <charset val="238"/>
      </rPr>
      <t>).ln((D</t>
    </r>
    <r>
      <rPr>
        <b/>
        <sz val="8"/>
        <color theme="1"/>
        <rFont val="Calibri"/>
        <family val="2"/>
        <charset val="238"/>
      </rPr>
      <t>h.n</t>
    </r>
    <r>
      <rPr>
        <b/>
        <sz val="20"/>
        <color theme="1"/>
        <rFont val="Calibri"/>
        <family val="2"/>
        <charset val="238"/>
      </rPr>
      <t>+2d</t>
    </r>
    <r>
      <rPr>
        <b/>
        <sz val="8"/>
        <color theme="1"/>
        <rFont val="Calibri"/>
        <family val="2"/>
        <charset val="238"/>
      </rPr>
      <t>n</t>
    </r>
    <r>
      <rPr>
        <b/>
        <sz val="20"/>
        <color theme="1"/>
        <rFont val="Calibri"/>
        <family val="2"/>
        <charset val="238"/>
      </rPr>
      <t>)/D</t>
    </r>
    <r>
      <rPr>
        <b/>
        <sz val="8"/>
        <color theme="1"/>
        <rFont val="Calibri"/>
        <family val="2"/>
        <charset val="238"/>
      </rPr>
      <t>h.n</t>
    </r>
    <r>
      <rPr>
        <b/>
        <sz val="20"/>
        <color theme="1"/>
        <rFont val="Calibri"/>
        <family val="2"/>
        <charset val="238"/>
      </rPr>
      <t>)</t>
    </r>
  </si>
  <si>
    <t>dle EN</t>
  </si>
  <si>
    <t>klasicky</t>
  </si>
  <si>
    <t>rozdíl</t>
  </si>
  <si>
    <t>Výpočty dle TPG 704 01</t>
  </si>
  <si>
    <t>m3</t>
  </si>
  <si>
    <t>8 =</t>
  </si>
  <si>
    <t>konstanta - nejmenší požadovaný objem</t>
  </si>
  <si>
    <t>m 3</t>
  </si>
  <si>
    <t>součet příkonů všech spotřebičů v provedení B</t>
  </si>
  <si>
    <t>kW</t>
  </si>
  <si>
    <t>Nejmenší požadovaný objem místnosti - pro spotřebiče typu B</t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</si>
  <si>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</si>
  <si>
    <t>skutečný rozměr místnosti</t>
  </si>
  <si>
    <t>výška</t>
  </si>
  <si>
    <t>šířka</t>
  </si>
  <si>
    <t>délka</t>
  </si>
  <si>
    <t>podmínka</t>
  </si>
  <si>
    <t>Potřebné množství spalovacího vzduchu - pro spotřebiče typu B</t>
  </si>
  <si>
    <t>m3/hod</t>
  </si>
  <si>
    <t>m3.kW</t>
  </si>
  <si>
    <t>c =</t>
  </si>
  <si>
    <t>konstanta - přepočtový koeficient</t>
  </si>
  <si>
    <t>zemní plyn =</t>
  </si>
  <si>
    <t>LTO =</t>
  </si>
  <si>
    <t>dřevo, uhlí - uzavřené spotřebiče =</t>
  </si>
  <si>
    <t>dřevo, uhlí - otevřené spotřebiče =</t>
  </si>
  <si>
    <r>
      <t>V</t>
    </r>
    <r>
      <rPr>
        <b/>
        <sz val="8"/>
        <color theme="1"/>
        <rFont val="Calibri"/>
        <family val="2"/>
        <charset val="238"/>
        <scheme val="minor"/>
      </rPr>
      <t>B</t>
    </r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</si>
  <si>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  <r>
      <rPr>
        <b/>
        <sz val="20"/>
        <color theme="1"/>
        <rFont val="Calibri"/>
        <family val="2"/>
        <charset val="238"/>
        <scheme val="minor"/>
      </rPr>
      <t>/hod</t>
    </r>
  </si>
  <si>
    <t xml:space="preserve">Potřebné celkové množství přiváděného vzduchu </t>
  </si>
  <si>
    <t xml:space="preserve"> -</t>
  </si>
  <si>
    <r>
      <t>ƩV</t>
    </r>
    <r>
      <rPr>
        <sz val="6"/>
        <color theme="1"/>
        <rFont val="Calibri"/>
        <family val="2"/>
        <charset val="238"/>
      </rPr>
      <t>A</t>
    </r>
    <r>
      <rPr>
        <sz val="11"/>
        <color theme="1"/>
        <rFont val="Calibri"/>
        <family val="2"/>
      </rPr>
      <t xml:space="preserve"> =</t>
    </r>
  </si>
  <si>
    <t>součet potřebných množství spalovacího vzduchu všech spotřebičů v provedení A</t>
  </si>
  <si>
    <r>
      <t>ƩV</t>
    </r>
    <r>
      <rPr>
        <b/>
        <sz val="8"/>
        <color theme="1"/>
        <rFont val="Calibri"/>
        <family val="2"/>
        <charset val="238"/>
      </rPr>
      <t xml:space="preserve">A </t>
    </r>
    <r>
      <rPr>
        <b/>
        <sz val="20"/>
        <color theme="1"/>
        <rFont val="Calibri"/>
        <family val="2"/>
        <charset val="238"/>
      </rPr>
      <t>+ ƩV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 xml:space="preserve"> + ƩV</t>
    </r>
    <r>
      <rPr>
        <b/>
        <sz val="8"/>
        <color theme="1"/>
        <rFont val="Calibri"/>
        <family val="2"/>
        <charset val="238"/>
      </rPr>
      <t>OSP</t>
    </r>
    <r>
      <rPr>
        <b/>
        <sz val="20"/>
        <color theme="1"/>
        <rFont val="Calibri"/>
        <family val="2"/>
        <charset val="238"/>
      </rPr>
      <t xml:space="preserve"> + ƩV</t>
    </r>
    <r>
      <rPr>
        <b/>
        <sz val="8"/>
        <color theme="1"/>
        <rFont val="Calibri"/>
        <family val="2"/>
        <charset val="238"/>
      </rPr>
      <t>ODV</t>
    </r>
    <r>
      <rPr>
        <b/>
        <sz val="20"/>
        <color theme="1"/>
        <rFont val="Calibri"/>
        <family val="2"/>
        <charset val="238"/>
      </rPr>
      <t xml:space="preserve"> ≤ ƩV</t>
    </r>
    <r>
      <rPr>
        <b/>
        <sz val="8"/>
        <color theme="1"/>
        <rFont val="Calibri"/>
        <family val="2"/>
        <charset val="238"/>
      </rPr>
      <t>O</t>
    </r>
  </si>
  <si>
    <r>
      <t>ƩV</t>
    </r>
    <r>
      <rPr>
        <sz val="6"/>
        <color theme="1"/>
        <rFont val="Calibri"/>
        <family val="2"/>
        <charset val="238"/>
      </rPr>
      <t>B</t>
    </r>
    <r>
      <rPr>
        <sz val="11"/>
        <color theme="1"/>
        <rFont val="Calibri"/>
        <family val="2"/>
      </rPr>
      <t xml:space="preserve"> =</t>
    </r>
  </si>
  <si>
    <t>součet potřebných množství spalovacího vzduchu všech spotřebičů v provedení B</t>
  </si>
  <si>
    <r>
      <t>ƩV</t>
    </r>
    <r>
      <rPr>
        <sz val="6"/>
        <color theme="1"/>
        <rFont val="Calibri"/>
        <family val="2"/>
        <charset val="238"/>
      </rPr>
      <t>OSP</t>
    </r>
    <r>
      <rPr>
        <sz val="11"/>
        <color theme="1"/>
        <rFont val="Calibri"/>
        <family val="2"/>
      </rPr>
      <t xml:space="preserve"> =</t>
    </r>
  </si>
  <si>
    <t>součet potřebných množství spalovacího vzduchu vpro všechny ostatní spotřebiče (nespalující plyn)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</si>
  <si>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/hod</t>
    </r>
  </si>
  <si>
    <r>
      <t>ƩV</t>
    </r>
    <r>
      <rPr>
        <sz val="6"/>
        <color theme="1"/>
        <rFont val="Calibri"/>
        <family val="2"/>
        <charset val="238"/>
      </rPr>
      <t>ODV</t>
    </r>
    <r>
      <rPr>
        <sz val="11"/>
        <color theme="1"/>
        <rFont val="Calibri"/>
        <family val="2"/>
      </rPr>
      <t xml:space="preserve"> =</t>
    </r>
  </si>
  <si>
    <t>součet množství vzduchu odváděného všemi podtlakovými větracími zařízeními</t>
  </si>
  <si>
    <r>
      <t>ƩV</t>
    </r>
    <r>
      <rPr>
        <sz val="6"/>
        <color theme="1"/>
        <rFont val="Calibri"/>
        <family val="2"/>
        <charset val="238"/>
      </rPr>
      <t>O</t>
    </r>
    <r>
      <rPr>
        <sz val="11"/>
        <color theme="1"/>
        <rFont val="Calibri"/>
        <family val="2"/>
      </rPr>
      <t xml:space="preserve"> =</t>
    </r>
  </si>
  <si>
    <t>součet množství vzduchu nutného přivádět z venkovního prostoru</t>
  </si>
  <si>
    <r>
      <t xml:space="preserve">součet příkonů </t>
    </r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</rPr>
      <t>Q</t>
    </r>
    <r>
      <rPr>
        <sz val="6"/>
        <color theme="1"/>
        <rFont val="Calibri"/>
        <family val="2"/>
        <charset val="238"/>
      </rPr>
      <t>B</t>
    </r>
  </si>
  <si>
    <r>
      <t>O</t>
    </r>
    <r>
      <rPr>
        <b/>
        <sz val="8"/>
        <color theme="1"/>
        <rFont val="Calibri"/>
        <family val="2"/>
        <charset val="238"/>
      </rPr>
      <t>MIN</t>
    </r>
    <r>
      <rPr>
        <b/>
        <sz val="20"/>
        <color theme="1"/>
        <rFont val="Calibri"/>
        <family val="2"/>
        <charset val="238"/>
      </rPr>
      <t xml:space="preserve"> = když(ƩQ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>≤30;8;8 + 0,8.(ƩQ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>-30))</t>
    </r>
  </si>
  <si>
    <r>
      <t>O</t>
    </r>
    <r>
      <rPr>
        <b/>
        <sz val="8"/>
        <color theme="1"/>
        <rFont val="Calibri"/>
        <family val="2"/>
        <charset val="238"/>
        <scheme val="minor"/>
      </rPr>
      <t>MIN</t>
    </r>
  </si>
  <si>
    <r>
      <t>O</t>
    </r>
    <r>
      <rPr>
        <b/>
        <sz val="8"/>
        <color theme="1"/>
        <rFont val="Calibri"/>
        <family val="2"/>
        <charset val="238"/>
        <scheme val="minor"/>
      </rPr>
      <t>SKUT</t>
    </r>
  </si>
  <si>
    <r>
      <t>O</t>
    </r>
    <r>
      <rPr>
        <sz val="8"/>
        <color theme="1"/>
        <rFont val="Calibri"/>
        <family val="2"/>
        <charset val="238"/>
        <scheme val="minor"/>
      </rPr>
      <t>MIN</t>
    </r>
    <r>
      <rPr>
        <sz val="20"/>
        <color theme="1"/>
        <rFont val="Calibri"/>
        <family val="2"/>
        <scheme val="minor"/>
      </rPr>
      <t xml:space="preserve"> &gt; O</t>
    </r>
    <r>
      <rPr>
        <sz val="8"/>
        <color theme="1"/>
        <rFont val="Calibri"/>
        <family val="2"/>
        <charset val="238"/>
        <scheme val="minor"/>
      </rPr>
      <t>SKUT</t>
    </r>
  </si>
  <si>
    <r>
      <t>V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 xml:space="preserve"> = ƩQ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>.c</t>
    </r>
  </si>
  <si>
    <r>
      <t>ƩQ</t>
    </r>
    <r>
      <rPr>
        <sz val="6"/>
        <color theme="1"/>
        <rFont val="Calibri"/>
        <family val="2"/>
        <charset val="238"/>
      </rPr>
      <t>B</t>
    </r>
    <r>
      <rPr>
        <sz val="11"/>
        <color theme="1"/>
        <rFont val="Calibri"/>
        <family val="2"/>
      </rPr>
      <t xml:space="preserve"> =</t>
    </r>
  </si>
  <si>
    <t>součet příkonů při jmenovitém výkonu všech spotřebičů spalujících totožné palivo</t>
  </si>
  <si>
    <r>
      <t>V</t>
    </r>
    <r>
      <rPr>
        <b/>
        <sz val="8"/>
        <color theme="1"/>
        <rFont val="Calibri"/>
        <family val="2"/>
        <charset val="238"/>
      </rPr>
      <t>OSP</t>
    </r>
    <r>
      <rPr>
        <b/>
        <sz val="20"/>
        <color theme="1"/>
        <rFont val="Calibri"/>
        <family val="2"/>
        <charset val="238"/>
      </rPr>
      <t xml:space="preserve"> = Ʃ(ƩQ</t>
    </r>
    <r>
      <rPr>
        <b/>
        <sz val="8"/>
        <color theme="1"/>
        <rFont val="Calibri"/>
        <family val="2"/>
        <charset val="238"/>
      </rPr>
      <t>OSP</t>
    </r>
    <r>
      <rPr>
        <b/>
        <sz val="20"/>
        <color theme="1"/>
        <rFont val="Calibri"/>
        <family val="2"/>
        <charset val="238"/>
      </rPr>
      <t>.c)</t>
    </r>
  </si>
  <si>
    <r>
      <t>ƩQ</t>
    </r>
    <r>
      <rPr>
        <sz val="6"/>
        <color theme="1"/>
        <rFont val="Calibri"/>
        <family val="2"/>
        <charset val="238"/>
      </rPr>
      <t>OSP</t>
    </r>
    <r>
      <rPr>
        <sz val="11"/>
        <color theme="1"/>
        <rFont val="Calibri"/>
        <family val="2"/>
        <charset val="238"/>
      </rPr>
      <t xml:space="preserve"> =</t>
    </r>
  </si>
  <si>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  <scheme val="minor"/>
      </rPr>
      <t>Q</t>
    </r>
    <r>
      <rPr>
        <sz val="6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scheme val="minor"/>
      </rPr>
      <t xml:space="preserve"> LTO =</t>
    </r>
  </si>
  <si>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  <scheme val="minor"/>
      </rPr>
      <t>Q</t>
    </r>
    <r>
      <rPr>
        <sz val="6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scheme val="minor"/>
      </rPr>
      <t xml:space="preserve"> dřevo, uhlí - uzavřené spotřebiče =</t>
    </r>
  </si>
  <si>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  <scheme val="minor"/>
      </rPr>
      <t>Q</t>
    </r>
    <r>
      <rPr>
        <sz val="6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scheme val="minor"/>
      </rPr>
      <t xml:space="preserve"> dřevo, uhlí - otevřené spotřebiče =</t>
    </r>
  </si>
  <si>
    <r>
      <rPr>
        <sz val="11"/>
        <color theme="1"/>
        <rFont val="Calibri"/>
        <family val="2"/>
        <charset val="238"/>
      </rPr>
      <t>Ʃ</t>
    </r>
    <r>
      <rPr>
        <sz val="11"/>
        <color theme="1"/>
        <rFont val="Calibri"/>
        <family val="2"/>
        <scheme val="minor"/>
      </rPr>
      <t>V</t>
    </r>
    <r>
      <rPr>
        <sz val="6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</si>
  <si>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Calibri"/>
        <family val="2"/>
        <scheme val="minor"/>
      </rPr>
      <t>V</t>
    </r>
    <r>
      <rPr>
        <sz val="6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scheme val="minor"/>
      </rPr>
      <t xml:space="preserve"> =</t>
    </r>
  </si>
  <si>
    <r>
      <t>ƩV</t>
    </r>
    <r>
      <rPr>
        <b/>
        <sz val="8"/>
        <color theme="1"/>
        <rFont val="Calibri"/>
        <family val="2"/>
        <charset val="238"/>
      </rPr>
      <t>O MIN</t>
    </r>
    <r>
      <rPr>
        <b/>
        <sz val="20"/>
        <color theme="1"/>
        <rFont val="Calibri"/>
        <family val="2"/>
        <charset val="238"/>
      </rPr>
      <t xml:space="preserve"> = ƩV</t>
    </r>
    <r>
      <rPr>
        <b/>
        <sz val="8"/>
        <color theme="1"/>
        <rFont val="Calibri"/>
        <family val="2"/>
        <charset val="238"/>
      </rPr>
      <t xml:space="preserve">A </t>
    </r>
    <r>
      <rPr>
        <b/>
        <sz val="20"/>
        <color theme="1"/>
        <rFont val="Calibri"/>
        <family val="2"/>
        <charset val="238"/>
      </rPr>
      <t>+ ƩV</t>
    </r>
    <r>
      <rPr>
        <b/>
        <sz val="8"/>
        <color theme="1"/>
        <rFont val="Calibri"/>
        <family val="2"/>
        <charset val="238"/>
      </rPr>
      <t>B</t>
    </r>
    <r>
      <rPr>
        <b/>
        <sz val="20"/>
        <color theme="1"/>
        <rFont val="Calibri"/>
        <family val="2"/>
        <charset val="238"/>
      </rPr>
      <t xml:space="preserve"> + ƩV</t>
    </r>
    <r>
      <rPr>
        <b/>
        <sz val="8"/>
        <color theme="1"/>
        <rFont val="Calibri"/>
        <family val="2"/>
        <charset val="238"/>
      </rPr>
      <t>OSP</t>
    </r>
    <r>
      <rPr>
        <b/>
        <sz val="20"/>
        <color theme="1"/>
        <rFont val="Calibri"/>
        <family val="2"/>
        <charset val="238"/>
      </rPr>
      <t xml:space="preserve"> + ƩV</t>
    </r>
    <r>
      <rPr>
        <b/>
        <sz val="8"/>
        <color theme="1"/>
        <rFont val="Calibri"/>
        <family val="2"/>
        <charset val="238"/>
      </rPr>
      <t>ODV</t>
    </r>
    <r>
      <rPr>
        <b/>
        <sz val="20"/>
        <color theme="1"/>
        <rFont val="Calibri"/>
        <family val="2"/>
        <charset val="238"/>
      </rPr>
      <t xml:space="preserve"> =</t>
    </r>
  </si>
  <si>
    <t xml:space="preserve">Potřebný minimální otvor pro přívod vzduchu </t>
  </si>
  <si>
    <t>m2</t>
  </si>
  <si>
    <r>
      <t>ƩP</t>
    </r>
    <r>
      <rPr>
        <sz val="6"/>
        <color theme="1"/>
        <rFont val="Calibri"/>
        <family val="2"/>
        <charset val="238"/>
      </rPr>
      <t>MIN</t>
    </r>
    <r>
      <rPr>
        <sz val="11"/>
        <color theme="1"/>
        <rFont val="Calibri"/>
        <family val="2"/>
        <charset val="238"/>
      </rPr>
      <t xml:space="preserve"> =</t>
    </r>
  </si>
  <si>
    <r>
      <t>ƩV</t>
    </r>
    <r>
      <rPr>
        <sz val="6"/>
        <color theme="1"/>
        <rFont val="Calibri"/>
        <family val="2"/>
        <charset val="238"/>
      </rPr>
      <t>O MIN</t>
    </r>
    <r>
      <rPr>
        <sz val="11"/>
        <color theme="1"/>
        <rFont val="Calibri"/>
        <family val="2"/>
        <charset val="238"/>
      </rPr>
      <t xml:space="preserve"> =</t>
    </r>
  </si>
  <si>
    <r>
      <t>v</t>
    </r>
    <r>
      <rPr>
        <sz val="6"/>
        <color theme="1"/>
        <rFont val="Calibri"/>
        <family val="2"/>
        <charset val="238"/>
        <scheme val="minor"/>
      </rPr>
      <t>MIN</t>
    </r>
    <r>
      <rPr>
        <sz val="11"/>
        <color theme="1"/>
        <rFont val="Calibri"/>
        <family val="2"/>
        <scheme val="minor"/>
      </rPr>
      <t xml:space="preserve"> =</t>
    </r>
  </si>
  <si>
    <t>minimální plocha otvoru do venkovního prostředí</t>
  </si>
  <si>
    <t>potřebné celkové množství přiváděného vzduchu</t>
  </si>
  <si>
    <t>minimální předpokládaná rychlost proudění</t>
  </si>
  <si>
    <t>m/s</t>
  </si>
  <si>
    <r>
      <t>ƩP</t>
    </r>
    <r>
      <rPr>
        <b/>
        <sz val="8"/>
        <color theme="1"/>
        <rFont val="Calibri"/>
        <family val="2"/>
        <charset val="238"/>
      </rPr>
      <t>MIN</t>
    </r>
    <r>
      <rPr>
        <b/>
        <sz val="20"/>
        <color theme="1"/>
        <rFont val="Calibri"/>
        <family val="2"/>
        <charset val="238"/>
      </rPr>
      <t xml:space="preserve"> =</t>
    </r>
    <r>
      <rPr>
        <b/>
        <sz val="8"/>
        <color theme="1"/>
        <rFont val="Calibri"/>
        <family val="2"/>
        <charset val="238"/>
      </rPr>
      <t/>
    </r>
  </si>
  <si>
    <r>
      <t>ƩP</t>
    </r>
    <r>
      <rPr>
        <b/>
        <sz val="8"/>
        <color theme="1"/>
        <rFont val="Calibri"/>
        <family val="2"/>
        <charset val="238"/>
      </rPr>
      <t>MIN</t>
    </r>
    <r>
      <rPr>
        <b/>
        <sz val="20"/>
        <color theme="1"/>
        <rFont val="Calibri"/>
        <family val="2"/>
        <charset val="238"/>
      </rPr>
      <t xml:space="preserve"> =</t>
    </r>
    <r>
      <rPr>
        <b/>
        <sz val="8"/>
        <color theme="1"/>
        <rFont val="Calibri"/>
        <family val="2"/>
        <charset val="238"/>
      </rPr>
      <t xml:space="preserve"> </t>
    </r>
    <r>
      <rPr>
        <b/>
        <sz val="20"/>
        <color theme="1"/>
        <rFont val="Calibri"/>
        <family val="2"/>
        <charset val="238"/>
      </rPr>
      <t>ƩV</t>
    </r>
    <r>
      <rPr>
        <b/>
        <sz val="8"/>
        <color theme="1"/>
        <rFont val="Calibri"/>
        <family val="2"/>
        <charset val="238"/>
      </rPr>
      <t>O MIN</t>
    </r>
    <r>
      <rPr>
        <b/>
        <sz val="20"/>
        <color theme="1"/>
        <rFont val="Calibri"/>
        <family val="2"/>
        <charset val="238"/>
      </rPr>
      <t xml:space="preserve"> / 3600.v</t>
    </r>
    <r>
      <rPr>
        <b/>
        <sz val="8"/>
        <color theme="1"/>
        <rFont val="Calibri"/>
        <family val="2"/>
        <charset val="238"/>
      </rPr>
      <t>MIN</t>
    </r>
  </si>
  <si>
    <t xml:space="preserve"> - tj.kruh DN =</t>
  </si>
  <si>
    <t xml:space="preserve"> - tj.čtverec o straně =</t>
  </si>
  <si>
    <t>mm</t>
  </si>
  <si>
    <t>digestoře</t>
  </si>
  <si>
    <t>počet</t>
  </si>
  <si>
    <t>výkon</t>
  </si>
  <si>
    <t>ks</t>
  </si>
  <si>
    <t>větráky</t>
  </si>
  <si>
    <t>teplota vstupní =</t>
  </si>
  <si>
    <t>Mřížkový koeficient</t>
  </si>
  <si>
    <r>
      <t>ƩP</t>
    </r>
    <r>
      <rPr>
        <b/>
        <sz val="8"/>
        <color theme="1"/>
        <rFont val="Calibri"/>
        <family val="2"/>
        <charset val="238"/>
      </rPr>
      <t>MINF</t>
    </r>
    <r>
      <rPr>
        <b/>
        <sz val="20"/>
        <color theme="1"/>
        <rFont val="Calibri"/>
        <family val="2"/>
        <charset val="238"/>
      </rPr>
      <t xml:space="preserve"> =</t>
    </r>
    <r>
      <rPr>
        <b/>
        <sz val="8"/>
        <color theme="1"/>
        <rFont val="Calibri"/>
        <family val="2"/>
        <charset val="238"/>
      </rPr>
      <t xml:space="preserve"> </t>
    </r>
    <r>
      <rPr>
        <b/>
        <sz val="20"/>
        <color theme="1"/>
        <rFont val="Calibri"/>
        <family val="2"/>
        <charset val="238"/>
      </rPr>
      <t>ƩP</t>
    </r>
    <r>
      <rPr>
        <b/>
        <sz val="8"/>
        <color theme="1"/>
        <rFont val="Calibri"/>
        <family val="2"/>
        <charset val="238"/>
      </rPr>
      <t>MIN</t>
    </r>
    <r>
      <rPr>
        <b/>
        <sz val="20"/>
        <color theme="1"/>
        <rFont val="Calibri"/>
        <family val="2"/>
        <charset val="238"/>
      </rPr>
      <t xml:space="preserve"> . K</t>
    </r>
  </si>
  <si>
    <r>
      <t>ƩP</t>
    </r>
    <r>
      <rPr>
        <sz val="6"/>
        <color theme="1"/>
        <rFont val="Calibri"/>
        <family val="2"/>
        <charset val="238"/>
      </rPr>
      <t>MINF</t>
    </r>
    <r>
      <rPr>
        <sz val="11"/>
        <color theme="1"/>
        <rFont val="Calibri"/>
        <family val="2"/>
        <charset val="238"/>
      </rPr>
      <t xml:space="preserve"> =</t>
    </r>
  </si>
  <si>
    <t>min.plocha otvoru s mřížkou do venkovního prostředí</t>
  </si>
  <si>
    <t>K</t>
  </si>
  <si>
    <t>mřížkový koeficient</t>
  </si>
  <si>
    <t>%</t>
  </si>
  <si>
    <r>
      <t>ƩP</t>
    </r>
    <r>
      <rPr>
        <b/>
        <sz val="8"/>
        <color theme="1"/>
        <rFont val="Calibri"/>
        <family val="2"/>
        <charset val="238"/>
      </rPr>
      <t>MINF</t>
    </r>
    <r>
      <rPr>
        <b/>
        <sz val="20"/>
        <color theme="1"/>
        <rFont val="Calibri"/>
        <family val="2"/>
        <charset val="238"/>
      </rPr>
      <t xml:space="preserve"> =</t>
    </r>
    <r>
      <rPr>
        <b/>
        <sz val="8"/>
        <color theme="1"/>
        <rFont val="Calibri"/>
        <family val="2"/>
        <charset val="238"/>
      </rPr>
      <t/>
    </r>
  </si>
  <si>
    <t>Výkon vzduchu</t>
  </si>
  <si>
    <t>Základní kalorimetrická rovnice - bez změny skupenství</t>
  </si>
  <si>
    <t>W</t>
  </si>
  <si>
    <t>hmotnostní průtok</t>
  </si>
  <si>
    <t>kg/s</t>
  </si>
  <si>
    <t>měrná tepelná kapacita</t>
  </si>
  <si>
    <t>J/kg.K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</si>
  <si>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</rPr>
      <t>T =</t>
    </r>
  </si>
  <si>
    <t>rozdíl teplot</t>
  </si>
  <si>
    <t xml:space="preserve"> --</t>
  </si>
  <si>
    <t>(např.vně x uvnitř)</t>
  </si>
  <si>
    <r>
      <t>m</t>
    </r>
    <r>
      <rPr>
        <sz val="6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</si>
  <si>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sz val="6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</si>
  <si>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t>objemový průtok</t>
  </si>
  <si>
    <t>m3/s</t>
  </si>
  <si>
    <t>ϕ =</t>
  </si>
  <si>
    <t>hustota</t>
  </si>
  <si>
    <t>P =</t>
  </si>
  <si>
    <t>v =</t>
  </si>
  <si>
    <t>plocha průřezu</t>
  </si>
  <si>
    <t>rychlost proudění</t>
  </si>
  <si>
    <r>
      <t>Q = m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.c.ΔT = m</t>
    </r>
    <r>
      <rPr>
        <b/>
        <sz val="8"/>
        <color theme="1"/>
        <rFont val="Calibri"/>
        <family val="2"/>
        <charset val="238"/>
      </rPr>
      <t>O</t>
    </r>
    <r>
      <rPr>
        <b/>
        <sz val="20"/>
        <color theme="1"/>
        <rFont val="Calibri"/>
        <family val="2"/>
        <charset val="238"/>
      </rPr>
      <t>.ϕ.c.ΔT = P.v.ϕ.c.ΔT</t>
    </r>
  </si>
  <si>
    <t>zadání</t>
  </si>
  <si>
    <r>
      <t>T</t>
    </r>
    <r>
      <rPr>
        <sz val="6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</si>
  <si>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sz val="6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</si>
  <si>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°C, K</t>
  </si>
  <si>
    <r>
      <t>ΔT = T</t>
    </r>
    <r>
      <rPr>
        <b/>
        <sz val="6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- T</t>
    </r>
    <r>
      <rPr>
        <b/>
        <sz val="6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=</t>
    </r>
  </si>
  <si>
    <t>c vzduchu =</t>
  </si>
  <si>
    <t>ϕ vzduchu =</t>
  </si>
  <si>
    <t>P - strana</t>
  </si>
  <si>
    <t>P - průměr</t>
  </si>
  <si>
    <r>
      <t>P</t>
    </r>
    <r>
      <rPr>
        <b/>
        <sz val="6"/>
        <color theme="1"/>
        <rFont val="Calibri"/>
        <family val="2"/>
        <charset val="238"/>
        <scheme val="minor"/>
      </rPr>
      <t>HRANOL</t>
    </r>
    <r>
      <rPr>
        <b/>
        <sz val="11"/>
        <color theme="1"/>
        <rFont val="Calibri"/>
        <family val="2"/>
        <charset val="238"/>
        <scheme val="minor"/>
      </rPr>
      <t xml:space="preserve"> =</t>
    </r>
  </si>
  <si>
    <r>
      <t>P</t>
    </r>
    <r>
      <rPr>
        <b/>
        <sz val="6"/>
        <color theme="1"/>
        <rFont val="Calibri"/>
        <family val="2"/>
        <charset val="238"/>
        <scheme val="minor"/>
      </rPr>
      <t>TRUBKA</t>
    </r>
    <r>
      <rPr>
        <b/>
        <sz val="11"/>
        <color theme="1"/>
        <rFont val="Calibri"/>
        <family val="2"/>
        <charset val="238"/>
        <scheme val="minor"/>
      </rPr>
      <t xml:space="preserve"> =</t>
    </r>
  </si>
  <si>
    <t>kg/hod</t>
  </si>
  <si>
    <t>l/s</t>
  </si>
  <si>
    <t>Q</t>
  </si>
  <si>
    <t>Energie</t>
  </si>
  <si>
    <t>E = Q.t</t>
  </si>
  <si>
    <t>J</t>
  </si>
  <si>
    <t>Q =</t>
  </si>
  <si>
    <t>s</t>
  </si>
  <si>
    <t>t =</t>
  </si>
  <si>
    <t>čas</t>
  </si>
  <si>
    <t>hod</t>
  </si>
  <si>
    <t>dnů</t>
  </si>
  <si>
    <t>E</t>
  </si>
  <si>
    <t>MJ</t>
  </si>
  <si>
    <t>kWh</t>
  </si>
  <si>
    <t>cena</t>
  </si>
  <si>
    <t>Kč/kWh</t>
  </si>
  <si>
    <t>Kč</t>
  </si>
  <si>
    <t>Základní kalorimetrická rovnice - se změnou skupenství</t>
  </si>
  <si>
    <r>
      <t>Q = m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.Δh =m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.[c</t>
    </r>
    <r>
      <rPr>
        <b/>
        <sz val="8"/>
        <color theme="1"/>
        <rFont val="Calibri"/>
        <family val="2"/>
        <charset val="238"/>
      </rPr>
      <t>A</t>
    </r>
    <r>
      <rPr>
        <b/>
        <sz val="20"/>
        <color theme="1"/>
        <rFont val="Calibri"/>
        <family val="2"/>
        <charset val="238"/>
      </rPr>
      <t>.ΔT</t>
    </r>
    <r>
      <rPr>
        <b/>
        <sz val="8"/>
        <color theme="1"/>
        <rFont val="Calibri"/>
        <family val="2"/>
        <charset val="238"/>
      </rPr>
      <t>A</t>
    </r>
    <r>
      <rPr>
        <b/>
        <sz val="20"/>
        <color theme="1"/>
        <rFont val="Calibri"/>
        <family val="2"/>
        <charset val="238"/>
      </rPr>
      <t xml:space="preserve"> +  Δx(c</t>
    </r>
    <r>
      <rPr>
        <b/>
        <sz val="8"/>
        <color theme="1"/>
        <rFont val="Calibri"/>
        <family val="2"/>
        <charset val="238"/>
      </rPr>
      <t>V</t>
    </r>
    <r>
      <rPr>
        <b/>
        <sz val="20"/>
        <color theme="1"/>
        <rFont val="Calibri"/>
        <family val="2"/>
        <charset val="238"/>
      </rPr>
      <t>.ΔT + l)]</t>
    </r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</si>
  <si>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</rPr>
      <t>h =</t>
    </r>
  </si>
  <si>
    <t>rozdíl entalpií</t>
  </si>
  <si>
    <t>J/kg</t>
  </si>
  <si>
    <t>Rychlost proudění</t>
  </si>
  <si>
    <t xml:space="preserve">objemový průtok </t>
  </si>
  <si>
    <t>d =</t>
  </si>
  <si>
    <t>plocha průduchu</t>
  </si>
  <si>
    <t>objemový průtok =</t>
  </si>
  <si>
    <t>plocha průduchu =</t>
  </si>
  <si>
    <t>hmotnostní průtok =</t>
  </si>
  <si>
    <t>g/s</t>
  </si>
  <si>
    <t>průměr kruhu =</t>
  </si>
  <si>
    <t>rychlost =</t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</si>
  <si>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  <r>
      <rPr>
        <b/>
        <sz val="20"/>
        <color theme="1"/>
        <rFont val="Calibri"/>
        <family val="2"/>
        <charset val="238"/>
        <scheme val="minor"/>
      </rPr>
      <t>/s</t>
    </r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</si>
  <si>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2</t>
    </r>
  </si>
  <si>
    <t xml:space="preserve"> = průměr</t>
  </si>
  <si>
    <t xml:space="preserve"> = čtverec</t>
  </si>
  <si>
    <t xml:space="preserve"> = hmotnostní průtok</t>
  </si>
  <si>
    <t>Statický - přirozený (atmosférický) tah</t>
  </si>
  <si>
    <r>
      <t>ΔP</t>
    </r>
    <r>
      <rPr>
        <b/>
        <sz val="12"/>
        <color theme="1"/>
        <rFont val="Calibri"/>
        <family val="2"/>
        <charset val="238"/>
      </rPr>
      <t>S</t>
    </r>
    <r>
      <rPr>
        <b/>
        <sz val="20"/>
        <color theme="1"/>
        <rFont val="Calibri"/>
        <family val="2"/>
        <charset val="238"/>
      </rPr>
      <t xml:space="preserve"> = h . g . Δρ</t>
    </r>
  </si>
  <si>
    <t>Dynamický tah</t>
  </si>
  <si>
    <t>rychlost proudění spalin</t>
  </si>
  <si>
    <r>
      <t>ρ</t>
    </r>
    <r>
      <rPr>
        <sz val="6"/>
        <color theme="1"/>
        <rFont val="Calibri"/>
        <family val="2"/>
        <charset val="238"/>
      </rPr>
      <t>S</t>
    </r>
    <r>
      <rPr>
        <sz val="11"/>
        <color theme="1"/>
        <rFont val="Calibri"/>
        <family val="2"/>
      </rPr>
      <t xml:space="preserve"> =</t>
    </r>
  </si>
  <si>
    <t>střední hustota spalin</t>
  </si>
  <si>
    <t>k =</t>
  </si>
  <si>
    <t>součinitel místního odporu</t>
  </si>
  <si>
    <t>bez rozměru</t>
  </si>
  <si>
    <t>rychlost v =</t>
  </si>
  <si>
    <t>průtok - objemový</t>
  </si>
  <si>
    <r>
      <t>V</t>
    </r>
    <r>
      <rPr>
        <sz val="6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</si>
  <si>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t>průměr</t>
  </si>
  <si>
    <t>strany</t>
  </si>
  <si>
    <r>
      <t>stř.hustota sp. - ρ</t>
    </r>
    <r>
      <rPr>
        <sz val="6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</si>
  <si>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souč.m.odporu k =</t>
  </si>
  <si>
    <r>
      <t>ΔP</t>
    </r>
    <r>
      <rPr>
        <b/>
        <sz val="12"/>
        <color theme="1"/>
        <rFont val="Calibri"/>
        <family val="2"/>
        <charset val="238"/>
        <scheme val="minor"/>
      </rPr>
      <t>D</t>
    </r>
  </si>
  <si>
    <t>Tepelný odpor vzduchové mezery</t>
  </si>
  <si>
    <r>
      <rPr>
        <b/>
        <sz val="18"/>
        <color theme="1"/>
        <rFont val="Calibri"/>
        <family val="2"/>
        <charset val="238"/>
      </rPr>
      <t>λ</t>
    </r>
    <r>
      <rPr>
        <b/>
        <vertAlign val="subscript"/>
        <sz val="18"/>
        <color theme="1"/>
        <rFont val="Calibri"/>
        <family val="2"/>
        <charset val="238"/>
        <scheme val="minor"/>
      </rPr>
      <t>LIN</t>
    </r>
    <r>
      <rPr>
        <b/>
        <sz val="18"/>
        <color theme="1"/>
        <rFont val="Calibri"/>
        <family val="2"/>
        <charset val="238"/>
        <scheme val="minor"/>
      </rPr>
      <t xml:space="preserve"> = 0,005855231d</t>
    </r>
    <r>
      <rPr>
        <b/>
        <vertAlign val="subscript"/>
        <sz val="18"/>
        <color theme="1"/>
        <rFont val="Calibri"/>
        <family val="2"/>
        <charset val="238"/>
        <scheme val="minor"/>
      </rPr>
      <t>v</t>
    </r>
    <r>
      <rPr>
        <b/>
        <sz val="18"/>
        <color theme="1"/>
        <rFont val="Calibri"/>
        <family val="2"/>
        <charset val="238"/>
        <scheme val="minor"/>
      </rPr>
      <t xml:space="preserve"> + 0,006158321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</si>
  <si>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</si>
  <si>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vzduchová mezera</t>
  </si>
  <si>
    <r>
      <t>λ</t>
    </r>
    <r>
      <rPr>
        <vertAlign val="subscript"/>
        <sz val="11"/>
        <color theme="1"/>
        <rFont val="Calibri"/>
        <family val="2"/>
        <charset val="238"/>
      </rPr>
      <t>n=2</t>
    </r>
    <r>
      <rPr>
        <sz val="11"/>
        <color theme="1"/>
        <rFont val="Calibri"/>
        <family val="2"/>
        <charset val="238"/>
      </rPr>
      <t xml:space="preserve"> = 0,000000511d</t>
    </r>
    <r>
      <rPr>
        <vertAlign val="subscript"/>
        <sz val="11"/>
        <color theme="1"/>
        <rFont val="Calibri"/>
        <family val="2"/>
        <charset val="238"/>
      </rPr>
      <t>v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+ 0,005697525d</t>
    </r>
    <r>
      <rPr>
        <vertAlign val="subscript"/>
        <sz val="11"/>
        <color theme="1"/>
        <rFont val="Calibri"/>
        <family val="2"/>
        <charset val="238"/>
      </rPr>
      <t>v</t>
    </r>
    <r>
      <rPr>
        <sz val="11"/>
        <color theme="1"/>
        <rFont val="Calibri"/>
        <family val="2"/>
        <charset val="238"/>
      </rPr>
      <t xml:space="preserve"> + 0,009978070</t>
    </r>
  </si>
  <si>
    <r>
      <t>λ</t>
    </r>
    <r>
      <rPr>
        <vertAlign val="subscript"/>
        <sz val="11"/>
        <color theme="1"/>
        <rFont val="Calibri"/>
        <family val="2"/>
        <charset val="238"/>
      </rPr>
      <t>n=3</t>
    </r>
    <r>
      <rPr>
        <sz val="11"/>
        <color theme="1"/>
        <rFont val="Calibri"/>
        <family val="2"/>
        <charset val="238"/>
      </rPr>
      <t xml:space="preserve"> = -0,000000016d</t>
    </r>
    <r>
      <rPr>
        <vertAlign val="subscript"/>
        <sz val="11"/>
        <color theme="1"/>
        <rFont val="Calibri"/>
        <family val="2"/>
        <charset val="238"/>
      </rPr>
      <t>v</t>
    </r>
    <r>
      <rPr>
        <vertAlign val="super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 + 0,000006786d</t>
    </r>
    <r>
      <rPr>
        <vertAlign val="subscript"/>
        <sz val="11"/>
        <color theme="1"/>
        <rFont val="Calibri"/>
        <family val="2"/>
        <charset val="238"/>
      </rPr>
      <t>v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+ 0,005208195d</t>
    </r>
    <r>
      <rPr>
        <vertAlign val="subscript"/>
        <sz val="11"/>
        <color theme="1"/>
        <rFont val="Calibri"/>
        <family val="2"/>
        <charset val="238"/>
      </rPr>
      <t>v</t>
    </r>
    <r>
      <rPr>
        <sz val="11"/>
        <color theme="1"/>
        <rFont val="Calibri"/>
        <family val="2"/>
        <charset val="238"/>
      </rPr>
      <t xml:space="preserve"> + 0,015644049</t>
    </r>
  </si>
  <si>
    <t>lineárně</t>
  </si>
  <si>
    <t>s druhou mocninou</t>
  </si>
  <si>
    <t>s třetí mocninou</t>
  </si>
  <si>
    <r>
      <t>λ</t>
    </r>
    <r>
      <rPr>
        <b/>
        <vertAlign val="subscript"/>
        <sz val="11"/>
        <color theme="1"/>
        <rFont val="Calibri"/>
        <family val="2"/>
        <charset val="238"/>
      </rPr>
      <t>LIN</t>
    </r>
    <r>
      <rPr>
        <b/>
        <sz val="11"/>
        <color theme="1"/>
        <rFont val="Calibri"/>
        <family val="2"/>
        <charset val="238"/>
      </rPr>
      <t xml:space="preserve"> =</t>
    </r>
  </si>
  <si>
    <r>
      <t>λ</t>
    </r>
    <r>
      <rPr>
        <b/>
        <vertAlign val="subscript"/>
        <sz val="11"/>
        <color theme="1"/>
        <rFont val="Calibri"/>
        <family val="2"/>
        <charset val="238"/>
      </rPr>
      <t>n=2</t>
    </r>
    <r>
      <rPr>
        <b/>
        <sz val="11"/>
        <color theme="1"/>
        <rFont val="Calibri"/>
        <family val="2"/>
        <charset val="238"/>
      </rPr>
      <t xml:space="preserve"> =</t>
    </r>
  </si>
  <si>
    <r>
      <t>λ</t>
    </r>
    <r>
      <rPr>
        <b/>
        <vertAlign val="subscript"/>
        <sz val="11"/>
        <color theme="1"/>
        <rFont val="Calibri"/>
        <family val="2"/>
        <charset val="238"/>
      </rPr>
      <t>n=3</t>
    </r>
    <r>
      <rPr>
        <b/>
        <sz val="11"/>
        <color theme="1"/>
        <rFont val="Calibri"/>
        <family val="2"/>
        <charset val="238"/>
      </rPr>
      <t xml:space="preserve"> =</t>
    </r>
  </si>
  <si>
    <r>
      <t>λ</t>
    </r>
    <r>
      <rPr>
        <b/>
        <vertAlign val="subscript"/>
        <sz val="20"/>
        <color theme="1"/>
        <rFont val="Calibri"/>
        <family val="2"/>
        <charset val="238"/>
      </rPr>
      <t>průměr</t>
    </r>
  </si>
  <si>
    <t>rozptyl =</t>
  </si>
  <si>
    <t>W/m.K   =</t>
  </si>
  <si>
    <t>lepidlo stavební</t>
  </si>
  <si>
    <t>Tepelný odpor - součet</t>
  </si>
  <si>
    <r>
      <t>R</t>
    </r>
    <r>
      <rPr>
        <b/>
        <sz val="8"/>
        <color theme="1"/>
        <rFont val="Calibri"/>
        <family val="2"/>
        <charset val="238"/>
      </rPr>
      <t>K</t>
    </r>
    <r>
      <rPr>
        <b/>
        <sz val="20"/>
        <color theme="1"/>
        <rFont val="Calibri"/>
        <family val="2"/>
        <charset val="238"/>
      </rPr>
      <t xml:space="preserve"> = ƩR</t>
    </r>
    <r>
      <rPr>
        <b/>
        <sz val="8"/>
        <color theme="1"/>
        <rFont val="Calibri"/>
        <family val="2"/>
        <charset val="238"/>
      </rPr>
      <t>1-N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E</t>
    </r>
    <r>
      <rPr>
        <b/>
        <sz val="20"/>
        <color theme="1"/>
        <rFont val="Calibri"/>
        <family val="2"/>
        <charset val="238"/>
      </rPr>
      <t/>
    </r>
  </si>
  <si>
    <r>
      <t>R</t>
    </r>
    <r>
      <rPr>
        <sz val="6"/>
        <color theme="1"/>
        <rFont val="Calibri"/>
        <family val="2"/>
        <charset val="238"/>
      </rPr>
      <t xml:space="preserve">1 </t>
    </r>
    <r>
      <rPr>
        <sz val="11"/>
        <color theme="1"/>
        <rFont val="Calibri"/>
        <family val="2"/>
        <charset val="238"/>
      </rPr>
      <t xml:space="preserve">= </t>
    </r>
  </si>
  <si>
    <r>
      <t>R</t>
    </r>
    <r>
      <rPr>
        <sz val="6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 </t>
    </r>
  </si>
  <si>
    <r>
      <t>R</t>
    </r>
    <r>
      <rPr>
        <b/>
        <sz val="8"/>
        <color theme="1"/>
        <rFont val="Calibri"/>
        <family val="2"/>
        <charset val="238"/>
      </rPr>
      <t>VM</t>
    </r>
  </si>
  <si>
    <t>dle EN 15 287-1+A1</t>
  </si>
  <si>
    <r>
      <t>R</t>
    </r>
    <r>
      <rPr>
        <vertAlign val="subscript"/>
        <sz val="11"/>
        <color theme="1"/>
        <rFont val="Calibri"/>
        <family val="2"/>
        <charset val="238"/>
      </rPr>
      <t xml:space="preserve">VM </t>
    </r>
    <r>
      <rPr>
        <sz val="11"/>
        <color theme="1"/>
        <rFont val="Calibri"/>
        <family val="2"/>
        <charset val="238"/>
      </rPr>
      <t>= 0,116 5 - 0,000 488.t</t>
    </r>
    <r>
      <rPr>
        <vertAlign val="subscript"/>
        <sz val="11"/>
        <color theme="1"/>
        <rFont val="Calibri"/>
        <family val="2"/>
        <charset val="238"/>
      </rPr>
      <t>x</t>
    </r>
    <r>
      <rPr>
        <sz val="11"/>
        <color theme="1"/>
        <rFont val="Calibri"/>
        <family val="2"/>
        <charset val="238"/>
      </rPr>
      <t xml:space="preserve"> + 0,000 000 65.t</t>
    </r>
    <r>
      <rPr>
        <vertAlign val="subscript"/>
        <sz val="11"/>
        <color theme="1"/>
        <rFont val="Calibri"/>
        <family val="2"/>
        <charset val="238"/>
      </rPr>
      <t>x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+ </t>
    </r>
  </si>
  <si>
    <t>(4,36 - 0,035 1.tx + 0,000 082.tx2).x - (58 - 0,46.tx + 0,001 1.tx2).x2</t>
  </si>
  <si>
    <r>
      <t>t</t>
    </r>
    <r>
      <rPr>
        <vertAlign val="subscript"/>
        <sz val="11"/>
        <color theme="1"/>
        <rFont val="Calibri"/>
        <family val="2"/>
        <charset val="238"/>
      </rPr>
      <t>x</t>
    </r>
    <r>
      <rPr>
        <sz val="11"/>
        <color theme="1"/>
        <rFont val="Calibri"/>
        <family val="2"/>
        <charset val="238"/>
      </rPr>
      <t xml:space="preserve"> =</t>
    </r>
  </si>
  <si>
    <t>teplota na vnitřním povrchu</t>
  </si>
  <si>
    <r>
      <t>m</t>
    </r>
    <r>
      <rPr>
        <b/>
        <vertAlign val="super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>.K/W</t>
    </r>
  </si>
  <si>
    <r>
      <t>ΔP</t>
    </r>
    <r>
      <rPr>
        <b/>
        <sz val="12"/>
        <color theme="1"/>
        <rFont val="Calibri"/>
        <family val="2"/>
        <charset val="238"/>
      </rPr>
      <t>D</t>
    </r>
    <r>
      <rPr>
        <b/>
        <sz val="20"/>
        <color theme="1"/>
        <rFont val="Calibri"/>
        <family val="2"/>
        <charset val="238"/>
      </rPr>
      <t xml:space="preserve"> = v</t>
    </r>
    <r>
      <rPr>
        <b/>
        <vertAlign val="superscript"/>
        <sz val="16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>/2 . ρ</t>
    </r>
    <r>
      <rPr>
        <b/>
        <sz val="12"/>
        <color theme="1"/>
        <rFont val="Calibri"/>
        <family val="2"/>
        <charset val="238"/>
      </rPr>
      <t>S</t>
    </r>
    <r>
      <rPr>
        <b/>
        <sz val="20"/>
        <color theme="1"/>
        <rFont val="Calibri"/>
        <family val="2"/>
        <charset val="238"/>
      </rPr>
      <t xml:space="preserve"> . k </t>
    </r>
  </si>
  <si>
    <t>Výkon vzduchu - nedoděláno</t>
  </si>
  <si>
    <t>Odhadem podle typu spotřebiče a TPG 704 01</t>
  </si>
  <si>
    <t>výkon spotřebiče</t>
  </si>
  <si>
    <t>typ paliva</t>
  </si>
  <si>
    <t>1 - 2 - 3</t>
  </si>
  <si>
    <t>1 =</t>
  </si>
  <si>
    <t xml:space="preserve"> plyn</t>
  </si>
  <si>
    <t>2 =</t>
  </si>
  <si>
    <t xml:space="preserve"> kapalina</t>
  </si>
  <si>
    <t>3 =</t>
  </si>
  <si>
    <t xml:space="preserve"> pevné palivo</t>
  </si>
  <si>
    <r>
      <t xml:space="preserve">Výpočet z výhřevnosti, jednotkového množství vzduchu, a </t>
    </r>
    <r>
      <rPr>
        <b/>
        <sz val="16"/>
        <color theme="1"/>
        <rFont val="Calibri"/>
        <family val="2"/>
        <charset val="238"/>
      </rPr>
      <t>λ</t>
    </r>
  </si>
  <si>
    <r>
      <t>V</t>
    </r>
    <r>
      <rPr>
        <b/>
        <sz val="8"/>
        <color theme="1"/>
        <rFont val="Calibri"/>
        <family val="2"/>
        <charset val="238"/>
        <scheme val="minor"/>
      </rPr>
      <t>VZDUCH</t>
    </r>
  </si>
  <si>
    <t>výhřevnost paliva</t>
  </si>
  <si>
    <t>jednotkové množství vzduchu</t>
  </si>
  <si>
    <t xml:space="preserve">Q = </t>
  </si>
  <si>
    <t xml:space="preserve">c = </t>
  </si>
  <si>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</rPr>
      <t xml:space="preserve"> = </t>
    </r>
  </si>
  <si>
    <t>přebytek vzduchu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</si>
  <si>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JEDNOT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</si>
  <si>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t>pro zadaný výkon</t>
  </si>
  <si>
    <t>Výpočet jednotkového množství vzduchu ze složení paliva</t>
  </si>
  <si>
    <r>
      <t>V</t>
    </r>
    <r>
      <rPr>
        <b/>
        <vertAlign val="subscript"/>
        <sz val="16"/>
        <color theme="1"/>
        <rFont val="Calibri"/>
        <family val="2"/>
        <charset val="238"/>
      </rPr>
      <t>JEDNOT</t>
    </r>
    <r>
      <rPr>
        <b/>
        <sz val="16"/>
        <color theme="1"/>
        <rFont val="Calibri"/>
        <family val="2"/>
        <charset val="238"/>
      </rPr>
      <t xml:space="preserve"> = (1,864.C + 5,554.H + 0,698.S - 0,700.O) / 0,21</t>
    </r>
  </si>
  <si>
    <t>obsah uhlíku v palivu</t>
  </si>
  <si>
    <t xml:space="preserve">C = </t>
  </si>
  <si>
    <t>obsah vodíku v palivu</t>
  </si>
  <si>
    <t xml:space="preserve">H = </t>
  </si>
  <si>
    <t>obsah síry v palivu</t>
  </si>
  <si>
    <t xml:space="preserve">S = </t>
  </si>
  <si>
    <t>obsah dusíku v palivu</t>
  </si>
  <si>
    <t xml:space="preserve">N = </t>
  </si>
  <si>
    <t xml:space="preserve">O = </t>
  </si>
  <si>
    <t>obsah kyslíku v palivu</t>
  </si>
  <si>
    <r>
      <t>V</t>
    </r>
    <r>
      <rPr>
        <b/>
        <sz val="8"/>
        <color theme="1"/>
        <rFont val="Calibri"/>
        <family val="2"/>
        <charset val="238"/>
        <scheme val="minor"/>
      </rPr>
      <t>JEDNOT</t>
    </r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</si>
  <si>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  <r>
      <rPr>
        <b/>
        <sz val="20"/>
        <color theme="1"/>
        <rFont val="Calibri"/>
        <family val="2"/>
        <charset val="238"/>
        <scheme val="minor"/>
      </rPr>
      <t>/kg</t>
    </r>
  </si>
  <si>
    <t>kWh/kg</t>
  </si>
  <si>
    <t>MJ/kg</t>
  </si>
  <si>
    <t xml:space="preserve">q = </t>
  </si>
  <si>
    <t>kJ/kg</t>
  </si>
  <si>
    <t>Množství spalin</t>
  </si>
  <si>
    <t>Výpočet množství suchých spalin z výhřevnosti (dle Rosina)</t>
  </si>
  <si>
    <t>spotřeba paliva</t>
  </si>
  <si>
    <t xml:space="preserve">m = </t>
  </si>
  <si>
    <t>bez rozm.</t>
  </si>
  <si>
    <r>
      <t>k</t>
    </r>
    <r>
      <rPr>
        <b/>
        <sz val="8"/>
        <color theme="1"/>
        <rFont val="Calibri"/>
        <family val="2"/>
        <charset val="238"/>
      </rPr>
      <t>VV</t>
    </r>
    <r>
      <rPr>
        <b/>
        <sz val="20"/>
        <color theme="1"/>
        <rFont val="Calibri"/>
        <family val="2"/>
        <charset val="238"/>
      </rPr>
      <t xml:space="preserve"> = ρ</t>
    </r>
    <r>
      <rPr>
        <b/>
        <vertAlign val="subscript"/>
        <sz val="20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>/ρ</t>
    </r>
    <r>
      <rPr>
        <b/>
        <vertAlign val="subscript"/>
        <sz val="20"/>
        <color theme="1"/>
        <rFont val="Calibri"/>
        <family val="2"/>
        <charset val="238"/>
      </rPr>
      <t>e</t>
    </r>
  </si>
  <si>
    <t>hustota spalin</t>
  </si>
  <si>
    <r>
      <t>ρ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scheme val="minor"/>
      </rPr>
      <t xml:space="preserve"> = </t>
    </r>
  </si>
  <si>
    <r>
      <t>ρ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 xml:space="preserve"> = </t>
    </r>
  </si>
  <si>
    <r>
      <t>při t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scheme val="minor"/>
      </rPr>
      <t xml:space="preserve"> = </t>
    </r>
  </si>
  <si>
    <r>
      <t>při t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scheme val="minor"/>
      </rPr>
      <t xml:space="preserve"> = </t>
    </r>
  </si>
  <si>
    <t xml:space="preserve">°C </t>
  </si>
  <si>
    <t>převzato z výp.tahu</t>
  </si>
  <si>
    <r>
      <t>k</t>
    </r>
    <r>
      <rPr>
        <b/>
        <sz val="8"/>
        <color theme="1"/>
        <rFont val="Calibri"/>
        <family val="2"/>
        <charset val="238"/>
        <scheme val="minor"/>
      </rPr>
      <t>VV</t>
    </r>
  </si>
  <si>
    <r>
      <t>V</t>
    </r>
    <r>
      <rPr>
        <b/>
        <sz val="8"/>
        <color theme="1"/>
        <rFont val="Calibri"/>
        <family val="2"/>
        <charset val="238"/>
        <scheme val="minor"/>
      </rPr>
      <t>SPALIN</t>
    </r>
  </si>
  <si>
    <t>Výpočet množství spalin z hmotnostního průtoku (dle výrobce)</t>
  </si>
  <si>
    <t>hmotnostní průtok spalin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</si>
  <si>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scheme val="minor"/>
      </rPr>
      <t xml:space="preserve"> = </t>
    </r>
  </si>
  <si>
    <t xml:space="preserve">ρi = </t>
  </si>
  <si>
    <t>stechiometricky</t>
  </si>
  <si>
    <t>obecně na kW</t>
  </si>
  <si>
    <t>komínový systém Poujoulat</t>
  </si>
  <si>
    <t>SKAMOL Super-izol - 50 mm</t>
  </si>
  <si>
    <t>minerální izolace</t>
  </si>
  <si>
    <t>vypočtená hodnota odpovídá cca tloušťce</t>
  </si>
  <si>
    <t>m cihelného zdiva</t>
  </si>
  <si>
    <t>pevná paliva</t>
  </si>
  <si>
    <t>zemní plyn</t>
  </si>
  <si>
    <t xml:space="preserve">  </t>
  </si>
  <si>
    <t xml:space="preserve"> °C</t>
  </si>
  <si>
    <t xml:space="preserve">   - hustota spalin</t>
  </si>
  <si>
    <t xml:space="preserve">  hustota =</t>
  </si>
  <si>
    <r>
      <t>m/s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</si>
  <si>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</si>
  <si>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  hustota spalin =</t>
  </si>
  <si>
    <r>
      <t>ƍ = ƍ</t>
    </r>
    <r>
      <rPr>
        <b/>
        <sz val="8"/>
        <color theme="1"/>
        <rFont val="Calibri"/>
        <family val="2"/>
        <charset val="238"/>
      </rPr>
      <t>0</t>
    </r>
    <r>
      <rPr>
        <b/>
        <sz val="11"/>
        <color theme="1"/>
        <rFont val="Calibri"/>
        <family val="2"/>
        <charset val="238"/>
      </rPr>
      <t xml:space="preserve"> . (273/(273 + t))</t>
    </r>
  </si>
  <si>
    <r>
      <t>Δρ</t>
    </r>
    <r>
      <rPr>
        <sz val="11"/>
        <color theme="1"/>
        <rFont val="Calibri"/>
        <family val="2"/>
      </rPr>
      <t xml:space="preserve"> =</t>
    </r>
  </si>
  <si>
    <r>
      <t xml:space="preserve"> Δρ = </t>
    </r>
    <r>
      <rPr>
        <b/>
        <sz val="11"/>
        <color theme="1"/>
        <rFont val="Calibri"/>
        <family val="2"/>
        <charset val="238"/>
      </rPr>
      <t>ρe - ρi</t>
    </r>
  </si>
  <si>
    <t xml:space="preserve">  hustota okolního vzduchu =</t>
  </si>
  <si>
    <t>teplota okolí (ústí) =</t>
  </si>
  <si>
    <t xml:space="preserve"> Δρ =</t>
  </si>
  <si>
    <t xml:space="preserve">   svislá vzdálenost mezi konci (středy otvorů)</t>
  </si>
  <si>
    <t xml:space="preserve">   tíhové zrychlení = 9,81</t>
  </si>
  <si>
    <t xml:space="preserve">   rozdíl hustot vzduchu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</si>
  <si>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/hod</t>
    </r>
  </si>
  <si>
    <t>to jest =</t>
  </si>
  <si>
    <r>
      <t>v = V</t>
    </r>
    <r>
      <rPr>
        <b/>
        <sz val="6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>/d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</si>
  <si>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</si>
  <si>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ρ</t>
    </r>
    <r>
      <rPr>
        <b/>
        <sz val="6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</rPr>
      <t xml:space="preserve"> = (ρ</t>
    </r>
    <r>
      <rPr>
        <b/>
        <sz val="6"/>
        <color theme="1"/>
        <rFont val="Calibri"/>
        <family val="2"/>
        <charset val="238"/>
      </rPr>
      <t>e</t>
    </r>
    <r>
      <rPr>
        <b/>
        <sz val="11"/>
        <color theme="1"/>
        <rFont val="Calibri"/>
        <family val="2"/>
        <charset val="238"/>
      </rPr>
      <t xml:space="preserve"> - ρ</t>
    </r>
    <r>
      <rPr>
        <b/>
        <sz val="6"/>
        <color theme="1"/>
        <rFont val="Calibri"/>
        <family val="2"/>
        <charset val="238"/>
      </rPr>
      <t>i</t>
    </r>
    <r>
      <rPr>
        <b/>
        <sz val="11"/>
        <color theme="1"/>
        <rFont val="Calibri"/>
        <family val="2"/>
        <charset val="238"/>
      </rPr>
      <t>)/2</t>
    </r>
  </si>
  <si>
    <r>
      <t>V</t>
    </r>
    <r>
      <rPr>
        <sz val="8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</si>
  <si>
    <r>
      <t>v = V</t>
    </r>
    <r>
      <rPr>
        <b/>
        <sz val="14"/>
        <color theme="1"/>
        <rFont val="Calibri"/>
        <family val="2"/>
        <charset val="238"/>
      </rPr>
      <t>o</t>
    </r>
    <r>
      <rPr>
        <b/>
        <sz val="20"/>
        <color theme="1"/>
        <rFont val="Calibri"/>
        <family val="2"/>
        <charset val="238"/>
      </rPr>
      <t>/d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</si>
  <si>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</si>
  <si>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 xml:space="preserve">hustota při 0°C </t>
    </r>
    <r>
      <rPr>
        <sz val="11"/>
        <color theme="1"/>
        <rFont val="Calibri"/>
        <family val="2"/>
        <charset val="238"/>
      </rPr>
      <t>ƍ</t>
    </r>
    <r>
      <rPr>
        <sz val="8"/>
        <color theme="1"/>
        <rFont val="Calibri"/>
        <family val="2"/>
        <charset val="238"/>
      </rPr>
      <t xml:space="preserve">0 </t>
    </r>
    <r>
      <rPr>
        <sz val="11"/>
        <color theme="1"/>
        <rFont val="Calibri"/>
        <family val="2"/>
        <charset val="238"/>
      </rPr>
      <t>=</t>
    </r>
  </si>
  <si>
    <t>teplota spalin t =</t>
  </si>
  <si>
    <t>průtok / plocha =</t>
  </si>
  <si>
    <t>rychlost / plocha =</t>
  </si>
  <si>
    <t>průtok Vo =</t>
  </si>
  <si>
    <t>plocha d =</t>
  </si>
  <si>
    <t>objem / rychlost =</t>
  </si>
  <si>
    <t>m =</t>
  </si>
  <si>
    <t>Poměr mezi objemem přebytku vzduchu na přívodu a ve spalinách</t>
  </si>
  <si>
    <t>patrně včetně přebytku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</si>
  <si>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/kg</t>
    </r>
  </si>
  <si>
    <r>
      <t>V</t>
    </r>
    <r>
      <rPr>
        <b/>
        <sz val="8"/>
        <color theme="1"/>
        <rFont val="Calibri"/>
        <family val="2"/>
        <charset val="238"/>
      </rPr>
      <t>VZDUCH</t>
    </r>
    <r>
      <rPr>
        <b/>
        <sz val="20"/>
        <color theme="1"/>
        <rFont val="Calibri"/>
        <family val="2"/>
        <charset val="238"/>
      </rPr>
      <t xml:space="preserve"> = (V</t>
    </r>
    <r>
      <rPr>
        <b/>
        <sz val="8"/>
        <color theme="1"/>
        <rFont val="Calibri"/>
        <family val="2"/>
        <charset val="238"/>
      </rPr>
      <t>JEDNOT</t>
    </r>
    <r>
      <rPr>
        <b/>
        <sz val="20"/>
        <color theme="1"/>
        <rFont val="Calibri"/>
        <family val="2"/>
        <charset val="238"/>
      </rPr>
      <t>/q) . λ . Q</t>
    </r>
  </si>
  <si>
    <r>
      <t>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  <r>
      <rPr>
        <b/>
        <sz val="20"/>
        <color theme="1"/>
        <rFont val="Calibri"/>
        <family val="2"/>
        <charset val="238"/>
        <scheme val="minor"/>
      </rPr>
      <t>/kWh</t>
    </r>
  </si>
  <si>
    <t>stechiometricky pro zadanou spotřebu paliva</t>
  </si>
  <si>
    <t>pro zadaný přebytek</t>
  </si>
  <si>
    <t>dřevo</t>
  </si>
  <si>
    <t>pro zadanou spotřebu paliva a přebytek vzduchu</t>
  </si>
  <si>
    <r>
      <t>V</t>
    </r>
    <r>
      <rPr>
        <b/>
        <sz val="8"/>
        <color theme="1"/>
        <rFont val="Calibri"/>
        <family val="2"/>
        <charset val="238"/>
      </rPr>
      <t>VZDUCH</t>
    </r>
    <r>
      <rPr>
        <b/>
        <sz val="20"/>
        <color theme="1"/>
        <rFont val="Calibri"/>
        <family val="2"/>
        <charset val="238"/>
      </rPr>
      <t xml:space="preserve"> = Q . c</t>
    </r>
  </si>
  <si>
    <t>Množství vzduchu</t>
  </si>
  <si>
    <r>
      <t>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/kg</t>
    </r>
  </si>
  <si>
    <r>
      <t>V</t>
    </r>
    <r>
      <rPr>
        <b/>
        <vertAlign val="subscript"/>
        <sz val="20"/>
        <color theme="1"/>
        <rFont val="Calibri"/>
        <family val="2"/>
        <charset val="238"/>
      </rPr>
      <t>SPALIN</t>
    </r>
    <r>
      <rPr>
        <b/>
        <sz val="20"/>
        <color theme="1"/>
        <rFont val="Calibri"/>
        <family val="2"/>
        <charset val="238"/>
      </rPr>
      <t xml:space="preserve"> = V</t>
    </r>
    <r>
      <rPr>
        <b/>
        <vertAlign val="subscript"/>
        <sz val="20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 xml:space="preserve"> / ρ</t>
    </r>
    <r>
      <rPr>
        <b/>
        <vertAlign val="subscript"/>
        <sz val="20"/>
        <color theme="1"/>
        <rFont val="Calibri"/>
        <family val="2"/>
        <charset val="238"/>
      </rPr>
      <t xml:space="preserve">i </t>
    </r>
    <r>
      <rPr>
        <b/>
        <sz val="20"/>
        <color theme="1"/>
        <rFont val="Calibri"/>
        <family val="2"/>
        <charset val="238"/>
      </rPr>
      <t>. 3600</t>
    </r>
  </si>
  <si>
    <r>
      <t>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</si>
  <si>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V</t>
    </r>
    <r>
      <rPr>
        <b/>
        <vertAlign val="subscript"/>
        <sz val="20"/>
        <color theme="1"/>
        <rFont val="Calibri"/>
        <family val="2"/>
        <charset val="238"/>
      </rPr>
      <t>SPALIN</t>
    </r>
    <r>
      <rPr>
        <b/>
        <sz val="20"/>
        <color theme="1"/>
        <rFont val="Calibri"/>
        <family val="2"/>
        <charset val="238"/>
      </rPr>
      <t xml:space="preserve"> = V</t>
    </r>
    <r>
      <rPr>
        <b/>
        <vertAlign val="subscript"/>
        <sz val="20"/>
        <color theme="1"/>
        <rFont val="Calibri"/>
        <family val="2"/>
        <charset val="238"/>
      </rPr>
      <t>JEDNOT</t>
    </r>
    <r>
      <rPr>
        <b/>
        <sz val="20"/>
        <color theme="1"/>
        <rFont val="Calibri"/>
        <family val="2"/>
        <charset val="238"/>
      </rPr>
      <t xml:space="preserve"> . m</t>
    </r>
  </si>
  <si>
    <r>
      <t>pro pevná paliva - V</t>
    </r>
    <r>
      <rPr>
        <b/>
        <vertAlign val="subscript"/>
        <sz val="16"/>
        <color theme="1"/>
        <rFont val="Calibri"/>
        <family val="2"/>
        <charset val="238"/>
      </rPr>
      <t>JEDNOT</t>
    </r>
    <r>
      <rPr>
        <b/>
        <sz val="16"/>
        <color theme="1"/>
        <rFont val="Calibri"/>
        <family val="2"/>
        <charset val="238"/>
      </rPr>
      <t xml:space="preserve"> = 1,375 + (0,95 . q / 4187)</t>
    </r>
  </si>
  <si>
    <r>
      <t>pro kapalná paliva - V</t>
    </r>
    <r>
      <rPr>
        <b/>
        <vertAlign val="subscript"/>
        <sz val="16"/>
        <color theme="1"/>
        <rFont val="Calibri"/>
        <family val="2"/>
        <charset val="238"/>
      </rPr>
      <t>JEDNOT</t>
    </r>
    <r>
      <rPr>
        <b/>
        <sz val="16"/>
        <color theme="1"/>
        <rFont val="Calibri"/>
        <family val="2"/>
        <charset val="238"/>
      </rPr>
      <t xml:space="preserve"> = 1,11 . q / 4187</t>
    </r>
  </si>
  <si>
    <r>
      <t>pro plynná paliva - V</t>
    </r>
    <r>
      <rPr>
        <b/>
        <vertAlign val="subscript"/>
        <sz val="16"/>
        <color theme="1"/>
        <rFont val="Calibri"/>
        <family val="2"/>
        <charset val="238"/>
      </rPr>
      <t>JEDNOT</t>
    </r>
    <r>
      <rPr>
        <b/>
        <sz val="16"/>
        <color theme="1"/>
        <rFont val="Calibri"/>
        <family val="2"/>
        <charset val="238"/>
      </rPr>
      <t xml:space="preserve"> = 0,446 + (1,09 . q / 4187) </t>
    </r>
  </si>
  <si>
    <t>Spalovací rovnice dřeva</t>
  </si>
  <si>
    <t>obsah vody v palivu</t>
  </si>
  <si>
    <t>Prvkové složení dřeva - pro suché a mokré dřevo</t>
  </si>
  <si>
    <t>Spalovací rovnice - SUCHÉ DŘEVO</t>
  </si>
  <si>
    <t>Do spalovacích rovnic prvků suchého dřeva vstupují látková množství v kmol. Tedy taková množství atomů dané látky, jejichž hmotnost v kg se číselně rovná relativní atomové hmotnosti.</t>
  </si>
  <si>
    <t>spalování uhlíku - C</t>
  </si>
  <si>
    <t>hmotnostně</t>
  </si>
  <si>
    <r>
      <t>C + O</t>
    </r>
    <r>
      <rPr>
        <b/>
        <vertAlign val="sub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 xml:space="preserve"> = CO</t>
    </r>
    <r>
      <rPr>
        <b/>
        <vertAlign val="subscript"/>
        <sz val="20"/>
        <color theme="1"/>
        <rFont val="Calibri"/>
        <family val="2"/>
        <charset val="238"/>
      </rPr>
      <t>2</t>
    </r>
  </si>
  <si>
    <r>
      <t>12 kg C + 2 x 16 kg O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= 44 kg CO</t>
    </r>
    <r>
      <rPr>
        <b/>
        <vertAlign val="subscript"/>
        <sz val="16"/>
        <color theme="1"/>
        <rFont val="Calibri"/>
        <family val="2"/>
        <charset val="238"/>
      </rPr>
      <t>2</t>
    </r>
  </si>
  <si>
    <r>
      <t>1 kg C + 2,67 kg O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= 3,67 kg CO</t>
    </r>
    <r>
      <rPr>
        <b/>
        <vertAlign val="subscript"/>
        <sz val="16"/>
        <color theme="1"/>
        <rFont val="Calibri"/>
        <family val="2"/>
        <charset val="238"/>
      </rPr>
      <t>2</t>
    </r>
  </si>
  <si>
    <t>spalování vodíku - H</t>
  </si>
  <si>
    <r>
      <t>2 H</t>
    </r>
    <r>
      <rPr>
        <b/>
        <vertAlign val="sub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 xml:space="preserve"> + O</t>
    </r>
    <r>
      <rPr>
        <b/>
        <vertAlign val="sub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 xml:space="preserve"> = 2 H</t>
    </r>
    <r>
      <rPr>
        <b/>
        <vertAlign val="sub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>O</t>
    </r>
  </si>
  <si>
    <r>
      <t>2 x 2 x 1 kg H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+ 2 x 16 kg O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= 36 kg H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O</t>
    </r>
  </si>
  <si>
    <r>
      <t>1 kg H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+ 8 kg O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 xml:space="preserve"> = 9 kg H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O</t>
    </r>
  </si>
  <si>
    <t>součinitel přebytku vzduchu</t>
  </si>
  <si>
    <t>λ =</t>
  </si>
  <si>
    <t xml:space="preserve"> ---</t>
  </si>
  <si>
    <t>SUCHÉ DŘEVO</t>
  </si>
  <si>
    <t>VLHKÉ DŘEVO</t>
  </si>
  <si>
    <r>
      <t>V</t>
    </r>
    <r>
      <rPr>
        <b/>
        <vertAlign val="subscript"/>
        <sz val="20"/>
        <color theme="1"/>
        <rFont val="Calibri"/>
        <family val="2"/>
        <charset val="238"/>
      </rPr>
      <t>WET</t>
    </r>
    <r>
      <rPr>
        <b/>
        <sz val="20"/>
        <color theme="1"/>
        <rFont val="Calibri"/>
        <family val="2"/>
        <charset val="238"/>
      </rPr>
      <t xml:space="preserve"> = V</t>
    </r>
    <r>
      <rPr>
        <b/>
        <vertAlign val="subscript"/>
        <sz val="20"/>
        <color theme="1"/>
        <rFont val="Calibri"/>
        <family val="2"/>
        <charset val="238"/>
      </rPr>
      <t>DRY</t>
    </r>
    <r>
      <rPr>
        <b/>
        <sz val="20"/>
        <color theme="1"/>
        <rFont val="Calibri"/>
        <family val="2"/>
        <charset val="238"/>
      </rPr>
      <t xml:space="preserve"> . ( 1 - V</t>
    </r>
    <r>
      <rPr>
        <b/>
        <vertAlign val="subscript"/>
        <sz val="20"/>
        <color theme="1"/>
        <rFont val="Calibri"/>
        <family val="2"/>
        <charset val="238"/>
      </rPr>
      <t>W-H2O</t>
    </r>
    <r>
      <rPr>
        <b/>
        <sz val="20"/>
        <color theme="1"/>
        <rFont val="Calibri"/>
        <family val="2"/>
        <charset val="238"/>
      </rPr>
      <t xml:space="preserve"> )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</si>
  <si>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D-C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</si>
  <si>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D-H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</si>
  <si>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</rPr>
      <t>D-O</t>
    </r>
    <r>
      <rPr>
        <sz val="11"/>
        <color theme="1"/>
        <rFont val="Calibri"/>
        <family val="2"/>
        <charset val="238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</si>
  <si>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</rPr>
      <t>D-H2O</t>
    </r>
    <r>
      <rPr>
        <sz val="11"/>
        <color theme="1"/>
        <rFont val="Calibri"/>
        <family val="2"/>
        <charset val="238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</si>
  <si>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D-S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</si>
  <si>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D-N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</si>
  <si>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W-C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</si>
  <si>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W-H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</si>
  <si>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</rPr>
      <t>W-O</t>
    </r>
    <r>
      <rPr>
        <sz val="11"/>
        <color theme="1"/>
        <rFont val="Calibri"/>
        <family val="2"/>
        <charset val="238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</si>
  <si>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</rPr>
      <t>W-H2O</t>
    </r>
    <r>
      <rPr>
        <sz val="11"/>
        <color theme="1"/>
        <rFont val="Calibri"/>
        <family val="2"/>
        <charset val="238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</si>
  <si>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W-S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</si>
  <si>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W-N</t>
    </r>
    <r>
      <rPr>
        <sz val="11"/>
        <color theme="1"/>
        <rFont val="Calibri"/>
        <family val="2"/>
        <scheme val="minor"/>
      </rPr>
      <t xml:space="preserve"> = </t>
    </r>
  </si>
  <si>
    <t>množství kyslíku pro spálení 1 kg uhlíku C</t>
  </si>
  <si>
    <r>
      <t>M</t>
    </r>
    <r>
      <rPr>
        <b/>
        <vertAlign val="subscript"/>
        <sz val="16"/>
        <color theme="1"/>
        <rFont val="Calibri"/>
        <family val="2"/>
        <charset val="238"/>
      </rPr>
      <t>O2-C</t>
    </r>
    <r>
      <rPr>
        <b/>
        <sz val="16"/>
        <color theme="1"/>
        <rFont val="Calibri"/>
        <family val="2"/>
        <charset val="238"/>
      </rPr>
      <t xml:space="preserve"> = </t>
    </r>
  </si>
  <si>
    <r>
      <t>kg O</t>
    </r>
    <r>
      <rPr>
        <b/>
        <vertAlign val="subscript"/>
        <sz val="16"/>
        <color theme="1"/>
        <rFont val="Calibri"/>
        <family val="2"/>
        <charset val="238"/>
      </rPr>
      <t>2</t>
    </r>
  </si>
  <si>
    <r>
      <t>M</t>
    </r>
    <r>
      <rPr>
        <b/>
        <vertAlign val="subscript"/>
        <sz val="16"/>
        <color theme="1"/>
        <rFont val="Calibri"/>
        <family val="2"/>
        <charset val="238"/>
      </rPr>
      <t>CO2-C</t>
    </r>
    <r>
      <rPr>
        <b/>
        <sz val="16"/>
        <color theme="1"/>
        <rFont val="Calibri"/>
        <family val="2"/>
        <charset val="238"/>
      </rPr>
      <t xml:space="preserve"> = </t>
    </r>
  </si>
  <si>
    <r>
      <t>kg CO</t>
    </r>
    <r>
      <rPr>
        <b/>
        <vertAlign val="subscript"/>
        <sz val="16"/>
        <color theme="1"/>
        <rFont val="Calibri"/>
        <family val="2"/>
        <charset val="238"/>
      </rPr>
      <t>2</t>
    </r>
  </si>
  <si>
    <r>
      <t>množství kyslíku pro spálení 1 kg vodíku H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</si>
  <si>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b/>
        <vertAlign val="subscript"/>
        <sz val="16"/>
        <color theme="1"/>
        <rFont val="Calibri"/>
        <family val="2"/>
        <charset val="238"/>
      </rPr>
      <t>O2-H2</t>
    </r>
    <r>
      <rPr>
        <b/>
        <sz val="16"/>
        <color theme="1"/>
        <rFont val="Calibri"/>
        <family val="2"/>
        <charset val="238"/>
      </rPr>
      <t xml:space="preserve"> = </t>
    </r>
  </si>
  <si>
    <r>
      <t>M</t>
    </r>
    <r>
      <rPr>
        <b/>
        <vertAlign val="subscript"/>
        <sz val="16"/>
        <color theme="1"/>
        <rFont val="Calibri"/>
        <family val="2"/>
        <charset val="238"/>
      </rPr>
      <t>H2O-H2</t>
    </r>
    <r>
      <rPr>
        <b/>
        <sz val="16"/>
        <color theme="1"/>
        <rFont val="Calibri"/>
        <family val="2"/>
        <charset val="238"/>
      </rPr>
      <t xml:space="preserve"> = </t>
    </r>
  </si>
  <si>
    <r>
      <t>kg H</t>
    </r>
    <r>
      <rPr>
        <b/>
        <vertAlign val="subscript"/>
        <sz val="16"/>
        <color theme="1"/>
        <rFont val="Calibri"/>
        <family val="2"/>
        <charset val="238"/>
      </rPr>
      <t>2</t>
    </r>
    <r>
      <rPr>
        <b/>
        <sz val="16"/>
        <color theme="1"/>
        <rFont val="Calibri"/>
        <family val="2"/>
        <charset val="238"/>
      </rPr>
      <t>O</t>
    </r>
  </si>
  <si>
    <r>
      <t>mn.vodní páry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O vzniklé spálením 1 kg vodíku H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</si>
  <si>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množství oxidu uhličitého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vzniklého spálením 1 kg uhlíku C</t>
    </r>
  </si>
  <si>
    <t>Potřeba kyslíku pro spálení dřeva - vztaženo na 1 kg dřeva</t>
  </si>
  <si>
    <r>
      <t>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vertAlign val="subscript"/>
        <sz val="16"/>
        <color theme="1"/>
        <rFont val="Calibri"/>
        <family val="2"/>
        <charset val="238"/>
        <scheme val="minor"/>
      </rPr>
      <t>S-D</t>
    </r>
    <r>
      <rPr>
        <b/>
        <sz val="16"/>
        <color theme="1"/>
        <rFont val="Calibri"/>
        <family val="2"/>
        <charset val="238"/>
        <scheme val="minor"/>
      </rPr>
      <t xml:space="preserve"> = (V</t>
    </r>
    <r>
      <rPr>
        <b/>
        <vertAlign val="subscript"/>
        <sz val="16"/>
        <color theme="1"/>
        <rFont val="Calibri"/>
        <family val="2"/>
        <charset val="238"/>
        <scheme val="minor"/>
      </rPr>
      <t>D-C</t>
    </r>
    <r>
      <rPr>
        <b/>
        <sz val="16"/>
        <color theme="1"/>
        <rFont val="Calibri"/>
        <family val="2"/>
        <charset val="238"/>
        <scheme val="minor"/>
      </rPr>
      <t xml:space="preserve"> x M</t>
    </r>
    <r>
      <rPr>
        <b/>
        <vertAlign val="subscript"/>
        <sz val="16"/>
        <color theme="1"/>
        <rFont val="Calibri"/>
        <family val="2"/>
        <charset val="238"/>
        <scheme val="minor"/>
      </rPr>
      <t>O2-C</t>
    </r>
    <r>
      <rPr>
        <b/>
        <sz val="16"/>
        <color theme="1"/>
        <rFont val="Calibri"/>
        <family val="2"/>
        <charset val="238"/>
        <scheme val="minor"/>
      </rPr>
      <t>) + (V</t>
    </r>
    <r>
      <rPr>
        <b/>
        <vertAlign val="subscript"/>
        <sz val="16"/>
        <color theme="1"/>
        <rFont val="Calibri"/>
        <family val="2"/>
        <charset val="238"/>
        <scheme val="minor"/>
      </rPr>
      <t>D-H</t>
    </r>
    <r>
      <rPr>
        <b/>
        <sz val="16"/>
        <color theme="1"/>
        <rFont val="Calibri"/>
        <family val="2"/>
        <charset val="238"/>
        <scheme val="minor"/>
      </rPr>
      <t xml:space="preserve"> x M</t>
    </r>
    <r>
      <rPr>
        <b/>
        <vertAlign val="subscript"/>
        <sz val="16"/>
        <color theme="1"/>
        <rFont val="Calibri"/>
        <family val="2"/>
        <charset val="238"/>
        <scheme val="minor"/>
      </rPr>
      <t>O2-H2</t>
    </r>
    <r>
      <rPr>
        <b/>
        <sz val="16"/>
        <color theme="1"/>
        <rFont val="Calibri"/>
        <family val="2"/>
        <charset val="238"/>
        <scheme val="minor"/>
      </rPr>
      <t>) - V</t>
    </r>
    <r>
      <rPr>
        <b/>
        <vertAlign val="subscript"/>
        <sz val="16"/>
        <color theme="1"/>
        <rFont val="Calibri"/>
        <family val="2"/>
        <charset val="238"/>
        <scheme val="minor"/>
      </rPr>
      <t>D-O</t>
    </r>
  </si>
  <si>
    <t>kg/kg</t>
  </si>
  <si>
    <r>
      <t>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vertAlign val="subscript"/>
        <sz val="16"/>
        <color theme="1"/>
        <rFont val="Calibri"/>
        <family val="2"/>
        <charset val="238"/>
        <scheme val="minor"/>
      </rPr>
      <t>S-D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</si>
  <si>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vertAlign val="subscript"/>
        <sz val="16"/>
        <color theme="1"/>
        <rFont val="Calibri"/>
        <family val="2"/>
        <charset val="238"/>
        <scheme val="minor"/>
      </rPr>
      <t>S-W</t>
    </r>
    <r>
      <rPr>
        <b/>
        <sz val="16"/>
        <color theme="1"/>
        <rFont val="Calibri"/>
        <family val="2"/>
        <charset val="238"/>
        <scheme val="minor"/>
      </rPr>
      <t xml:space="preserve"> = (V</t>
    </r>
    <r>
      <rPr>
        <b/>
        <vertAlign val="subscript"/>
        <sz val="16"/>
        <color theme="1"/>
        <rFont val="Calibri"/>
        <family val="2"/>
        <charset val="238"/>
        <scheme val="minor"/>
      </rPr>
      <t>W-C</t>
    </r>
    <r>
      <rPr>
        <b/>
        <sz val="16"/>
        <color theme="1"/>
        <rFont val="Calibri"/>
        <family val="2"/>
        <charset val="238"/>
        <scheme val="minor"/>
      </rPr>
      <t xml:space="preserve"> x M</t>
    </r>
    <r>
      <rPr>
        <b/>
        <vertAlign val="subscript"/>
        <sz val="16"/>
        <color theme="1"/>
        <rFont val="Calibri"/>
        <family val="2"/>
        <charset val="238"/>
        <scheme val="minor"/>
      </rPr>
      <t>O2-C</t>
    </r>
    <r>
      <rPr>
        <b/>
        <sz val="16"/>
        <color theme="1"/>
        <rFont val="Calibri"/>
        <family val="2"/>
        <charset val="238"/>
        <scheme val="minor"/>
      </rPr>
      <t>) + (V</t>
    </r>
    <r>
      <rPr>
        <b/>
        <vertAlign val="subscript"/>
        <sz val="16"/>
        <color theme="1"/>
        <rFont val="Calibri"/>
        <family val="2"/>
        <charset val="238"/>
        <scheme val="minor"/>
      </rPr>
      <t>W-H</t>
    </r>
    <r>
      <rPr>
        <b/>
        <sz val="16"/>
        <color theme="1"/>
        <rFont val="Calibri"/>
        <family val="2"/>
        <charset val="238"/>
        <scheme val="minor"/>
      </rPr>
      <t xml:space="preserve"> x M</t>
    </r>
    <r>
      <rPr>
        <b/>
        <vertAlign val="subscript"/>
        <sz val="16"/>
        <color theme="1"/>
        <rFont val="Calibri"/>
        <family val="2"/>
        <charset val="238"/>
        <scheme val="minor"/>
      </rPr>
      <t>O2-H2</t>
    </r>
    <r>
      <rPr>
        <b/>
        <sz val="16"/>
        <color theme="1"/>
        <rFont val="Calibri"/>
        <family val="2"/>
        <charset val="238"/>
        <scheme val="minor"/>
      </rPr>
      <t>) - V</t>
    </r>
    <r>
      <rPr>
        <b/>
        <vertAlign val="subscript"/>
        <sz val="16"/>
        <color theme="1"/>
        <rFont val="Calibri"/>
        <family val="2"/>
        <charset val="238"/>
        <scheme val="minor"/>
      </rPr>
      <t>D-O</t>
    </r>
  </si>
  <si>
    <r>
      <t xml:space="preserve"> - stechiometrické spalování (</t>
    </r>
    <r>
      <rPr>
        <sz val="16"/>
        <color theme="1"/>
        <rFont val="Calibri"/>
        <family val="2"/>
      </rPr>
      <t>λ = 1) suchého dřeva :</t>
    </r>
  </si>
  <si>
    <r>
      <t xml:space="preserve"> - stechiometrické spalování (</t>
    </r>
    <r>
      <rPr>
        <sz val="16"/>
        <color theme="1"/>
        <rFont val="Calibri"/>
        <family val="2"/>
      </rPr>
      <t>λ = 1) vlhkého dřeva :</t>
    </r>
  </si>
  <si>
    <t>Potřeba vzduchu pro spálení dřeva - vztaženo na 1 kg dřeva</t>
  </si>
  <si>
    <r>
      <t>M</t>
    </r>
    <r>
      <rPr>
        <b/>
        <sz val="10"/>
        <color theme="1"/>
        <rFont val="Calibri"/>
        <family val="2"/>
        <charset val="238"/>
        <scheme val="minor"/>
      </rPr>
      <t>VZDUCH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sz val="16"/>
        <color theme="1"/>
        <rFont val="Calibri"/>
        <family val="2"/>
        <charset val="238"/>
        <scheme val="minor"/>
      </rPr>
      <t xml:space="preserve"> / R</t>
    </r>
    <r>
      <rPr>
        <b/>
        <sz val="10"/>
        <color theme="1"/>
        <rFont val="Calibri"/>
        <family val="2"/>
        <charset val="238"/>
        <scheme val="minor"/>
      </rPr>
      <t>O2</t>
    </r>
  </si>
  <si>
    <t>hmotnostní poměr kyslíku ve vzduchu</t>
  </si>
  <si>
    <r>
      <t>R</t>
    </r>
    <r>
      <rPr>
        <sz val="8"/>
        <color theme="1"/>
        <rFont val="Calibri"/>
        <family val="2"/>
        <charset val="238"/>
      </rPr>
      <t>O2</t>
    </r>
    <r>
      <rPr>
        <sz val="11"/>
        <color theme="1"/>
        <rFont val="Calibri"/>
        <family val="2"/>
        <charset val="238"/>
      </rPr>
      <t xml:space="preserve"> =</t>
    </r>
  </si>
  <si>
    <t>objemový podíl kyslíku ve vzduchu</t>
  </si>
  <si>
    <t>hustota kyslíku</t>
  </si>
  <si>
    <r>
      <t>V</t>
    </r>
    <r>
      <rPr>
        <sz val="8"/>
        <color theme="1"/>
        <rFont val="Calibri"/>
        <family val="2"/>
        <charset val="238"/>
        <scheme val="minor"/>
      </rPr>
      <t>O2</t>
    </r>
    <r>
      <rPr>
        <sz val="11"/>
        <color theme="1"/>
        <rFont val="Calibri"/>
        <family val="2"/>
        <scheme val="minor"/>
      </rPr>
      <t xml:space="preserve"> =</t>
    </r>
  </si>
  <si>
    <r>
      <t>ρ</t>
    </r>
    <r>
      <rPr>
        <sz val="8"/>
        <color theme="1"/>
        <rFont val="Calibri"/>
        <family val="2"/>
        <charset val="238"/>
      </rPr>
      <t>O2</t>
    </r>
    <r>
      <rPr>
        <sz val="11"/>
        <color theme="1"/>
        <rFont val="Calibri"/>
        <family val="2"/>
      </rPr>
      <t xml:space="preserve"> =</t>
    </r>
  </si>
  <si>
    <r>
      <t>V</t>
    </r>
    <r>
      <rPr>
        <sz val="8"/>
        <color theme="1"/>
        <rFont val="Calibri"/>
        <family val="2"/>
        <charset val="238"/>
        <scheme val="minor"/>
      </rPr>
      <t>N2</t>
    </r>
    <r>
      <rPr>
        <sz val="11"/>
        <color theme="1"/>
        <rFont val="Calibri"/>
        <family val="2"/>
        <scheme val="minor"/>
      </rPr>
      <t xml:space="preserve"> =</t>
    </r>
  </si>
  <si>
    <r>
      <t>ρ</t>
    </r>
    <r>
      <rPr>
        <sz val="8"/>
        <color theme="1"/>
        <rFont val="Calibri"/>
        <family val="2"/>
        <charset val="238"/>
      </rPr>
      <t>N2</t>
    </r>
    <r>
      <rPr>
        <sz val="11"/>
        <color theme="1"/>
        <rFont val="Calibri"/>
        <family val="2"/>
      </rPr>
      <t xml:space="preserve"> =</t>
    </r>
  </si>
  <si>
    <t>objemový podíl dusíku ve vzduchu</t>
  </si>
  <si>
    <t>hustota dusíku</t>
  </si>
  <si>
    <r>
      <t>R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sz val="16"/>
        <color theme="1"/>
        <rFont val="Calibri"/>
        <family val="2"/>
        <charset val="238"/>
        <scheme val="minor"/>
      </rPr>
      <t xml:space="preserve"> / M</t>
    </r>
    <r>
      <rPr>
        <b/>
        <sz val="10"/>
        <color theme="1"/>
        <rFont val="Calibri"/>
        <family val="2"/>
        <charset val="238"/>
        <scheme val="minor"/>
      </rPr>
      <t>VZDUCH</t>
    </r>
    <r>
      <rPr>
        <b/>
        <sz val="16"/>
        <color theme="1"/>
        <rFont val="Calibri"/>
        <family val="2"/>
        <charset val="238"/>
        <scheme val="minor"/>
      </rPr>
      <t xml:space="preserve"> = V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sz val="16"/>
        <color theme="1"/>
        <rFont val="Calibri"/>
        <family val="2"/>
        <charset val="238"/>
        <scheme val="minor"/>
      </rPr>
      <t xml:space="preserve"> x </t>
    </r>
    <r>
      <rPr>
        <b/>
        <sz val="16"/>
        <color theme="1"/>
        <rFont val="Calibri"/>
        <family val="2"/>
        <charset val="238"/>
      </rPr>
      <t>ρ</t>
    </r>
    <r>
      <rPr>
        <b/>
        <sz val="10"/>
        <color theme="1"/>
        <rFont val="Calibri"/>
        <family val="2"/>
        <charset val="238"/>
      </rPr>
      <t>O2</t>
    </r>
    <r>
      <rPr>
        <b/>
        <sz val="16"/>
        <color theme="1"/>
        <rFont val="Calibri"/>
        <family val="2"/>
        <charset val="238"/>
      </rPr>
      <t xml:space="preserve"> / (V</t>
    </r>
    <r>
      <rPr>
        <b/>
        <sz val="10"/>
        <color theme="1"/>
        <rFont val="Calibri"/>
        <family val="2"/>
        <charset val="238"/>
      </rPr>
      <t>O2</t>
    </r>
    <r>
      <rPr>
        <b/>
        <sz val="16"/>
        <color theme="1"/>
        <rFont val="Calibri"/>
        <family val="2"/>
        <charset val="238"/>
      </rPr>
      <t xml:space="preserve"> x ρ</t>
    </r>
    <r>
      <rPr>
        <b/>
        <sz val="10"/>
        <color theme="1"/>
        <rFont val="Calibri"/>
        <family val="2"/>
        <charset val="238"/>
      </rPr>
      <t>O2</t>
    </r>
    <r>
      <rPr>
        <b/>
        <sz val="16"/>
        <color theme="1"/>
        <rFont val="Calibri"/>
        <family val="2"/>
        <charset val="238"/>
      </rPr>
      <t xml:space="preserve"> + V</t>
    </r>
    <r>
      <rPr>
        <b/>
        <sz val="10"/>
        <color theme="1"/>
        <rFont val="Calibri"/>
        <family val="2"/>
        <charset val="238"/>
      </rPr>
      <t>N2</t>
    </r>
    <r>
      <rPr>
        <b/>
        <sz val="16"/>
        <color theme="1"/>
        <rFont val="Calibri"/>
        <family val="2"/>
        <charset val="238"/>
      </rPr>
      <t xml:space="preserve"> x ρ</t>
    </r>
    <r>
      <rPr>
        <b/>
        <sz val="10"/>
        <color theme="1"/>
        <rFont val="Calibri"/>
        <family val="2"/>
        <charset val="238"/>
      </rPr>
      <t>N2</t>
    </r>
    <r>
      <rPr>
        <b/>
        <sz val="16"/>
        <color theme="1"/>
        <rFont val="Calibri"/>
        <family val="2"/>
        <charset val="238"/>
      </rPr>
      <t>)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</si>
  <si>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VZDUCH-D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</si>
  <si>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VZDUCH-W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</si>
  <si>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VZDUCH-S-D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vertAlign val="subscript"/>
        <sz val="16"/>
        <color theme="1"/>
        <rFont val="Calibri"/>
        <family val="2"/>
        <charset val="238"/>
        <scheme val="minor"/>
      </rPr>
      <t>S-D</t>
    </r>
    <r>
      <rPr>
        <b/>
        <sz val="16"/>
        <color theme="1"/>
        <rFont val="Calibri"/>
        <family val="2"/>
        <charset val="238"/>
        <scheme val="minor"/>
      </rPr>
      <t xml:space="preserve"> / R</t>
    </r>
    <r>
      <rPr>
        <b/>
        <vertAlign val="subscript"/>
        <sz val="16"/>
        <color theme="1"/>
        <rFont val="Calibri"/>
        <family val="2"/>
        <charset val="238"/>
        <scheme val="minor"/>
      </rPr>
      <t>O2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</si>
  <si>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VZDUCH-S-D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</si>
  <si>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VZDUCH-S-W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O2</t>
    </r>
    <r>
      <rPr>
        <b/>
        <vertAlign val="subscript"/>
        <sz val="16"/>
        <color theme="1"/>
        <rFont val="Calibri"/>
        <family val="2"/>
        <charset val="238"/>
        <scheme val="minor"/>
      </rPr>
      <t>S-W</t>
    </r>
    <r>
      <rPr>
        <b/>
        <sz val="16"/>
        <color theme="1"/>
        <rFont val="Calibri"/>
        <family val="2"/>
        <charset val="238"/>
        <scheme val="minor"/>
      </rPr>
      <t xml:space="preserve"> / R</t>
    </r>
    <r>
      <rPr>
        <b/>
        <vertAlign val="subscript"/>
        <sz val="16"/>
        <color theme="1"/>
        <rFont val="Calibri"/>
        <family val="2"/>
        <charset val="238"/>
        <scheme val="minor"/>
      </rPr>
      <t>O2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</si>
  <si>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VZDUCH-S-W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</si>
  <si>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 xml:space="preserve"> - reálné spalování </t>
    </r>
    <r>
      <rPr>
        <sz val="16"/>
        <color theme="1"/>
        <rFont val="Calibri"/>
        <family val="2"/>
      </rPr>
      <t xml:space="preserve">suchého dřeva - pro přebytek λ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</si>
  <si>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VZDUCH-D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VZDUCH-S-D</t>
    </r>
    <r>
      <rPr>
        <b/>
        <sz val="16"/>
        <color theme="1"/>
        <rFont val="Calibri"/>
        <family val="2"/>
        <charset val="238"/>
        <scheme val="minor"/>
      </rPr>
      <t xml:space="preserve"> x </t>
    </r>
    <r>
      <rPr>
        <b/>
        <sz val="16"/>
        <color theme="1"/>
        <rFont val="Calibri"/>
        <family val="2"/>
        <charset val="238"/>
      </rPr>
      <t>λ</t>
    </r>
  </si>
  <si>
    <r>
      <t xml:space="preserve"> - reálné spalování </t>
    </r>
    <r>
      <rPr>
        <sz val="16"/>
        <color theme="1"/>
        <rFont val="Calibri"/>
        <family val="2"/>
      </rPr>
      <t xml:space="preserve">vlhkého dřeva - pro přebytek λ = 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</si>
  <si>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VZDUCH-W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VZDUCH-S-W</t>
    </r>
    <r>
      <rPr>
        <b/>
        <sz val="16"/>
        <color theme="1"/>
        <rFont val="Calibri"/>
        <family val="2"/>
        <charset val="238"/>
        <scheme val="minor"/>
      </rPr>
      <t xml:space="preserve"> x </t>
    </r>
    <r>
      <rPr>
        <b/>
        <sz val="16"/>
        <color theme="1"/>
        <rFont val="Calibri"/>
        <family val="2"/>
        <charset val="238"/>
      </rPr>
      <t>λ</t>
    </r>
  </si>
  <si>
    <r>
      <t>ρ</t>
    </r>
    <r>
      <rPr>
        <sz val="8"/>
        <color theme="1"/>
        <rFont val="Calibri"/>
        <family val="2"/>
        <charset val="238"/>
      </rPr>
      <t>VZDUCH</t>
    </r>
    <r>
      <rPr>
        <sz val="11"/>
        <color theme="1"/>
        <rFont val="Calibri"/>
        <family val="2"/>
      </rPr>
      <t xml:space="preserve"> =</t>
    </r>
  </si>
  <si>
    <t>Množství spalin po spálení dřeva - vztaženo na 1 kg dřeva</t>
  </si>
  <si>
    <t xml:space="preserve"> - dle hmotnostního složení spalin</t>
  </si>
  <si>
    <t>vodní pára (z vodíku)</t>
  </si>
  <si>
    <t>vodní pára (z vody)</t>
  </si>
  <si>
    <t>dusík (zbylý ze vzduchu)</t>
  </si>
  <si>
    <t>oxid uhličitý (z uhlíku)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</si>
  <si>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D-C</t>
    </r>
    <r>
      <rPr>
        <sz val="11"/>
        <color theme="1"/>
        <rFont val="Calibri"/>
        <family val="2"/>
        <scheme val="minor"/>
      </rPr>
      <t xml:space="preserve"> x  M</t>
    </r>
    <r>
      <rPr>
        <vertAlign val="subscript"/>
        <sz val="11"/>
        <color theme="1"/>
        <rFont val="Calibri"/>
        <family val="2"/>
        <charset val="238"/>
        <scheme val="minor"/>
      </rPr>
      <t>CO2-C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</si>
  <si>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W-C</t>
    </r>
    <r>
      <rPr>
        <sz val="11"/>
        <color theme="1"/>
        <rFont val="Calibri"/>
        <family val="2"/>
        <scheme val="minor"/>
      </rPr>
      <t xml:space="preserve"> x  M</t>
    </r>
    <r>
      <rPr>
        <vertAlign val="subscript"/>
        <sz val="11"/>
        <color theme="1"/>
        <rFont val="Calibri"/>
        <family val="2"/>
        <charset val="238"/>
        <scheme val="minor"/>
      </rPr>
      <t>CO2-C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</si>
  <si>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D-H</t>
    </r>
    <r>
      <rPr>
        <sz val="11"/>
        <color theme="1"/>
        <rFont val="Calibri"/>
        <family val="2"/>
        <scheme val="minor"/>
      </rPr>
      <t xml:space="preserve"> x M</t>
    </r>
    <r>
      <rPr>
        <vertAlign val="subscript"/>
        <sz val="11"/>
        <color theme="1"/>
        <rFont val="Calibri"/>
        <family val="2"/>
        <charset val="238"/>
        <scheme val="minor"/>
      </rPr>
      <t>H2O-H2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</si>
  <si>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W-H</t>
    </r>
    <r>
      <rPr>
        <sz val="11"/>
        <color theme="1"/>
        <rFont val="Calibri"/>
        <family val="2"/>
        <scheme val="minor"/>
      </rPr>
      <t xml:space="preserve"> x M</t>
    </r>
    <r>
      <rPr>
        <vertAlign val="subscript"/>
        <sz val="11"/>
        <color theme="1"/>
        <rFont val="Calibri"/>
        <family val="2"/>
        <charset val="238"/>
        <scheme val="minor"/>
      </rPr>
      <t>H2O-H2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</si>
  <si>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</rPr>
      <t>VZDUCH-S-D</t>
    </r>
    <r>
      <rPr>
        <sz val="11"/>
        <color theme="1"/>
        <rFont val="Calibri"/>
        <family val="2"/>
        <charset val="238"/>
      </rPr>
      <t xml:space="preserve"> - M</t>
    </r>
    <r>
      <rPr>
        <vertAlign val="subscript"/>
        <sz val="11"/>
        <color theme="1"/>
        <rFont val="Calibri"/>
        <family val="2"/>
        <charset val="238"/>
      </rPr>
      <t>O2S-D</t>
    </r>
    <r>
      <rPr>
        <sz val="11"/>
        <color theme="1"/>
        <rFont val="Calibri"/>
        <family val="2"/>
        <charset val="238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</si>
  <si>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</rPr>
      <t>VZDUCH-S-W</t>
    </r>
    <r>
      <rPr>
        <sz val="11"/>
        <color theme="1"/>
        <rFont val="Calibri"/>
        <family val="2"/>
        <charset val="238"/>
      </rPr>
      <t xml:space="preserve"> - M</t>
    </r>
    <r>
      <rPr>
        <vertAlign val="subscript"/>
        <sz val="11"/>
        <color theme="1"/>
        <rFont val="Calibri"/>
        <family val="2"/>
        <charset val="238"/>
      </rPr>
      <t>O2S-W</t>
    </r>
    <r>
      <rPr>
        <sz val="11"/>
        <color theme="1"/>
        <rFont val="Calibri"/>
        <family val="2"/>
        <charset val="238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</si>
  <si>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VZDUCH-S-D</t>
    </r>
    <r>
      <rPr>
        <sz val="11"/>
        <color theme="1"/>
        <rFont val="Calibri"/>
        <family val="2"/>
        <scheme val="minor"/>
      </rPr>
      <t xml:space="preserve"> x (</t>
    </r>
    <r>
      <rPr>
        <sz val="11"/>
        <color theme="1"/>
        <rFont val="Calibri"/>
        <family val="2"/>
        <charset val="238"/>
      </rPr>
      <t>λ-1)</t>
    </r>
    <r>
      <rPr>
        <sz val="11"/>
        <color theme="1"/>
        <rFont val="Calibri"/>
        <family val="2"/>
        <scheme val="minor"/>
      </rPr>
      <t xml:space="preserve"> = </t>
    </r>
  </si>
  <si>
    <t>CELKEM - kg/kg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</si>
  <si>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SP-S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</si>
  <si>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SP-w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</si>
  <si>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SP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</si>
  <si>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t>spotřeba paliva za hodinu</t>
  </si>
  <si>
    <t xml:space="preserve"> - reálné množství spalin pro konkrétní množství paliva</t>
  </si>
  <si>
    <r>
      <t>ρ</t>
    </r>
    <r>
      <rPr>
        <sz val="8"/>
        <color theme="1"/>
        <rFont val="Calibri"/>
        <family val="2"/>
        <charset val="238"/>
      </rPr>
      <t>SPALINY</t>
    </r>
    <r>
      <rPr>
        <sz val="11"/>
        <color theme="1"/>
        <rFont val="Calibri"/>
        <family val="2"/>
      </rPr>
      <t xml:space="preserve"> =</t>
    </r>
  </si>
  <si>
    <t>pro T =</t>
  </si>
  <si>
    <r>
      <t>V</t>
    </r>
    <r>
      <rPr>
        <b/>
        <sz val="10"/>
        <color theme="1"/>
        <rFont val="Calibri"/>
        <family val="2"/>
        <charset val="238"/>
        <scheme val="minor"/>
      </rPr>
      <t>VZDUCH-W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</si>
  <si>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V</t>
    </r>
    <r>
      <rPr>
        <b/>
        <sz val="10"/>
        <color theme="1"/>
        <rFont val="Calibri"/>
        <family val="2"/>
        <charset val="238"/>
        <scheme val="minor"/>
      </rPr>
      <t>SP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</si>
  <si>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V</t>
    </r>
    <r>
      <rPr>
        <b/>
        <sz val="10"/>
        <color theme="1"/>
        <rFont val="Calibri"/>
        <family val="2"/>
        <charset val="238"/>
        <scheme val="minor"/>
      </rPr>
      <t>VZDUCH-W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VZDUCH-S-W</t>
    </r>
    <r>
      <rPr>
        <b/>
        <sz val="16"/>
        <color theme="1"/>
        <rFont val="Calibri"/>
        <family val="2"/>
        <charset val="238"/>
        <scheme val="minor"/>
      </rPr>
      <t xml:space="preserve"> / </t>
    </r>
    <r>
      <rPr>
        <b/>
        <sz val="16"/>
        <color theme="1"/>
        <rFont val="Calibri"/>
        <family val="2"/>
        <charset val="238"/>
      </rPr>
      <t>ρ</t>
    </r>
    <r>
      <rPr>
        <b/>
        <sz val="10"/>
        <color theme="1"/>
        <rFont val="Calibri"/>
        <family val="2"/>
        <charset val="238"/>
      </rPr>
      <t>VZDUCH</t>
    </r>
  </si>
  <si>
    <r>
      <t>V</t>
    </r>
    <r>
      <rPr>
        <b/>
        <sz val="10"/>
        <color theme="1"/>
        <rFont val="Calibri"/>
        <family val="2"/>
        <charset val="238"/>
        <scheme val="minor"/>
      </rPr>
      <t>SP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SP</t>
    </r>
    <r>
      <rPr>
        <b/>
        <sz val="16"/>
        <color theme="1"/>
        <rFont val="Calibri"/>
        <family val="2"/>
        <charset val="238"/>
        <scheme val="minor"/>
      </rPr>
      <t xml:space="preserve"> / </t>
    </r>
    <r>
      <rPr>
        <b/>
        <sz val="16"/>
        <color theme="1"/>
        <rFont val="Calibri"/>
        <family val="2"/>
        <charset val="238"/>
      </rPr>
      <t>ρ</t>
    </r>
    <r>
      <rPr>
        <b/>
        <sz val="10"/>
        <color theme="1"/>
        <rFont val="Calibri"/>
        <family val="2"/>
        <charset val="238"/>
      </rPr>
      <t>SPALINY</t>
    </r>
  </si>
  <si>
    <t xml:space="preserve"> - přepočet na hmotnostní průtok</t>
  </si>
  <si>
    <r>
      <t>pro t</t>
    </r>
    <r>
      <rPr>
        <vertAlign val="subscript"/>
        <sz val="11"/>
        <color theme="1"/>
        <rFont val="Calibri"/>
        <family val="2"/>
        <charset val="238"/>
      </rPr>
      <t>x</t>
    </r>
    <r>
      <rPr>
        <sz val="11"/>
        <color theme="1"/>
        <rFont val="Calibri"/>
        <family val="2"/>
        <charset val="238"/>
      </rPr>
      <t xml:space="preserve"> &lt; 200°C</t>
    </r>
  </si>
  <si>
    <t>Teploty - povrchové</t>
  </si>
  <si>
    <r>
      <t>t</t>
    </r>
    <r>
      <rPr>
        <b/>
        <sz val="8"/>
        <color theme="1"/>
        <rFont val="Calibri"/>
        <family val="2"/>
        <charset val="238"/>
      </rPr>
      <t>INT</t>
    </r>
    <r>
      <rPr>
        <b/>
        <sz val="20"/>
        <color theme="1"/>
        <rFont val="Calibri"/>
        <family val="2"/>
        <charset val="238"/>
      </rPr>
      <t xml:space="preserve"> =</t>
    </r>
  </si>
  <si>
    <r>
      <t>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/>
    </r>
  </si>
  <si>
    <r>
      <t>t</t>
    </r>
    <r>
      <rPr>
        <b/>
        <sz val="8"/>
        <color theme="1"/>
        <rFont val="Calibri"/>
        <family val="2"/>
        <charset val="238"/>
      </rPr>
      <t>CALC</t>
    </r>
    <r>
      <rPr>
        <b/>
        <sz val="20"/>
        <color theme="1"/>
        <rFont val="Calibri"/>
        <family val="2"/>
        <charset val="238"/>
      </rPr>
      <t xml:space="preserve"> -</t>
    </r>
  </si>
  <si>
    <r>
      <t>x ( t</t>
    </r>
    <r>
      <rPr>
        <b/>
        <sz val="8"/>
        <color theme="1"/>
        <rFont val="Calibri"/>
        <family val="2"/>
        <charset val="238"/>
      </rPr>
      <t>CALC</t>
    </r>
    <r>
      <rPr>
        <b/>
        <sz val="20"/>
        <color theme="1"/>
        <rFont val="Calibri"/>
        <family val="2"/>
        <charset val="238"/>
      </rPr>
      <t xml:space="preserve"> - t</t>
    </r>
    <r>
      <rPr>
        <b/>
        <sz val="8"/>
        <color theme="1"/>
        <rFont val="Calibri"/>
        <family val="2"/>
        <charset val="238"/>
      </rPr>
      <t>OK</t>
    </r>
    <r>
      <rPr>
        <b/>
        <sz val="20"/>
        <color theme="1"/>
        <rFont val="Calibri"/>
        <family val="2"/>
        <charset val="238"/>
      </rPr>
      <t>)</t>
    </r>
  </si>
  <si>
    <r>
      <t>t</t>
    </r>
    <r>
      <rPr>
        <sz val="6"/>
        <color theme="1"/>
        <rFont val="Calibri"/>
        <family val="2"/>
        <charset val="238"/>
      </rPr>
      <t>CALC</t>
    </r>
    <r>
      <rPr>
        <sz val="11"/>
        <color theme="1"/>
        <rFont val="Calibri"/>
        <family val="2"/>
        <charset val="238"/>
      </rPr>
      <t xml:space="preserve"> =</t>
    </r>
  </si>
  <si>
    <t>teplota spalin</t>
  </si>
  <si>
    <r>
      <t>t</t>
    </r>
    <r>
      <rPr>
        <sz val="6"/>
        <color theme="1"/>
        <rFont val="Calibri"/>
        <family val="2"/>
        <charset val="238"/>
      </rPr>
      <t>OK</t>
    </r>
    <r>
      <rPr>
        <sz val="11"/>
        <color theme="1"/>
        <rFont val="Calibri"/>
        <family val="2"/>
        <charset val="238"/>
      </rPr>
      <t xml:space="preserve"> =</t>
    </r>
  </si>
  <si>
    <t>teplota okolí</t>
  </si>
  <si>
    <r>
      <t>D</t>
    </r>
    <r>
      <rPr>
        <sz val="6"/>
        <color theme="1"/>
        <rFont val="Calibri"/>
        <family val="2"/>
        <charset val="238"/>
      </rPr>
      <t>H</t>
    </r>
    <r>
      <rPr>
        <sz val="11"/>
        <color theme="1"/>
        <rFont val="Calibri"/>
        <family val="2"/>
        <charset val="238"/>
      </rPr>
      <t xml:space="preserve"> =</t>
    </r>
  </si>
  <si>
    <t>vnitřní průměr komínu</t>
  </si>
  <si>
    <r>
      <t>D</t>
    </r>
    <r>
      <rPr>
        <sz val="6"/>
        <color theme="1"/>
        <rFont val="Calibri"/>
        <family val="2"/>
        <charset val="238"/>
      </rPr>
      <t>HA</t>
    </r>
    <r>
      <rPr>
        <sz val="11"/>
        <color theme="1"/>
        <rFont val="Calibri"/>
        <family val="2"/>
        <charset val="238"/>
      </rPr>
      <t xml:space="preserve"> =</t>
    </r>
  </si>
  <si>
    <t>vnější průměr komínu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</si>
  <si>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.K/W</t>
    </r>
  </si>
  <si>
    <r>
      <t>R</t>
    </r>
    <r>
      <rPr>
        <sz val="6"/>
        <color theme="1"/>
        <rFont val="Calibri"/>
        <family val="2"/>
        <charset val="238"/>
      </rPr>
      <t>ISOL</t>
    </r>
    <r>
      <rPr>
        <sz val="11"/>
        <color theme="1"/>
        <rFont val="Calibri"/>
        <family val="2"/>
        <charset val="238"/>
      </rPr>
      <t xml:space="preserve"> =</t>
    </r>
  </si>
  <si>
    <t>celkový tepelný odpor přídavné izolace</t>
  </si>
  <si>
    <r>
      <t>R</t>
    </r>
    <r>
      <rPr>
        <sz val="6"/>
        <color theme="1"/>
        <rFont val="Calibri"/>
        <family val="2"/>
        <charset val="238"/>
      </rPr>
      <t>HS</t>
    </r>
    <r>
      <rPr>
        <sz val="11"/>
        <color theme="1"/>
        <rFont val="Calibri"/>
        <family val="2"/>
        <charset val="238"/>
      </rPr>
      <t xml:space="preserve"> =</t>
    </r>
  </si>
  <si>
    <t>celkový tepelný odpor hořlavé vrstvy</t>
  </si>
  <si>
    <r>
      <t>t</t>
    </r>
    <r>
      <rPr>
        <b/>
        <sz val="8"/>
        <color theme="1"/>
        <rFont val="Calibri"/>
        <family val="2"/>
        <charset val="238"/>
      </rPr>
      <t>EXT</t>
    </r>
    <r>
      <rPr>
        <b/>
        <sz val="20"/>
        <color theme="1"/>
        <rFont val="Calibri"/>
        <family val="2"/>
        <charset val="238"/>
      </rPr>
      <t xml:space="preserve"> =</t>
    </r>
  </si>
  <si>
    <r>
      <t>t</t>
    </r>
    <r>
      <rPr>
        <b/>
        <sz val="8"/>
        <color theme="1"/>
        <rFont val="Calibri"/>
        <family val="2"/>
        <charset val="238"/>
      </rPr>
      <t>INT</t>
    </r>
    <r>
      <rPr>
        <b/>
        <sz val="20"/>
        <color theme="1"/>
        <rFont val="Calibri"/>
        <family val="2"/>
        <charset val="238"/>
      </rPr>
      <t xml:space="preserve"> -</t>
    </r>
  </si>
  <si>
    <r>
      <t>R</t>
    </r>
    <r>
      <rPr>
        <b/>
        <sz val="8"/>
        <color theme="1"/>
        <rFont val="Calibri"/>
        <family val="2"/>
        <charset val="238"/>
      </rPr>
      <t>I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K</t>
    </r>
    <r>
      <rPr>
        <b/>
        <sz val="18"/>
        <color theme="1"/>
        <rFont val="Calibri"/>
        <family val="2"/>
        <charset val="238"/>
      </rPr>
      <t xml:space="preserve"> + ( D</t>
    </r>
    <r>
      <rPr>
        <b/>
        <sz val="8"/>
        <color theme="1"/>
        <rFont val="Calibri"/>
        <family val="2"/>
        <charset val="238"/>
      </rPr>
      <t>H</t>
    </r>
    <r>
      <rPr>
        <b/>
        <sz val="18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18"/>
        <color theme="1"/>
        <rFont val="Calibri"/>
        <family val="2"/>
        <charset val="238"/>
      </rPr>
      <t xml:space="preserve"> x (R</t>
    </r>
    <r>
      <rPr>
        <b/>
        <sz val="8"/>
        <color theme="1"/>
        <rFont val="Calibri"/>
        <family val="2"/>
        <charset val="238"/>
      </rPr>
      <t>ISOL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HS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E</t>
    </r>
    <r>
      <rPr>
        <b/>
        <sz val="18"/>
        <color theme="1"/>
        <rFont val="Calibri"/>
        <family val="2"/>
        <charset val="238"/>
      </rPr>
      <t>))</t>
    </r>
  </si>
  <si>
    <r>
      <t>t</t>
    </r>
    <r>
      <rPr>
        <b/>
        <sz val="8"/>
        <color theme="1"/>
        <rFont val="Calibri"/>
        <family val="2"/>
        <charset val="238"/>
      </rPr>
      <t>CALC</t>
    </r>
    <r>
      <rPr>
        <b/>
        <sz val="20"/>
        <color theme="1"/>
        <rFont val="Calibri"/>
        <family val="2"/>
        <charset val="238"/>
      </rPr>
      <t xml:space="preserve"> + t</t>
    </r>
    <r>
      <rPr>
        <b/>
        <sz val="8"/>
        <color theme="1"/>
        <rFont val="Calibri"/>
        <family val="2"/>
        <charset val="238"/>
      </rPr>
      <t>OK</t>
    </r>
    <r>
      <rPr>
        <b/>
        <sz val="20"/>
        <color theme="1"/>
        <rFont val="Calibri"/>
        <family val="2"/>
        <charset val="238"/>
      </rPr>
      <t xml:space="preserve"> . (R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K</t>
    </r>
    <r>
      <rPr>
        <b/>
        <sz val="20"/>
        <color theme="1"/>
        <rFont val="Calibri"/>
        <family val="2"/>
        <charset val="238"/>
      </rPr>
      <t>)/(D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20"/>
        <color theme="1"/>
        <rFont val="Calibri"/>
        <family val="2"/>
        <charset val="238"/>
      </rPr>
      <t xml:space="preserve"> . R</t>
    </r>
    <r>
      <rPr>
        <b/>
        <sz val="8"/>
        <color theme="1"/>
        <rFont val="Calibri"/>
        <family val="2"/>
        <charset val="238"/>
      </rPr>
      <t>E</t>
    </r>
    <r>
      <rPr>
        <b/>
        <sz val="20"/>
        <color theme="1"/>
        <rFont val="Calibri"/>
        <family val="2"/>
        <charset val="238"/>
      </rPr>
      <t>)</t>
    </r>
  </si>
  <si>
    <r>
      <t>R</t>
    </r>
    <r>
      <rPr>
        <b/>
        <sz val="8"/>
        <color theme="1"/>
        <rFont val="Calibri"/>
        <family val="2"/>
        <charset val="238"/>
      </rPr>
      <t>I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K</t>
    </r>
    <r>
      <rPr>
        <b/>
        <sz val="18"/>
        <color theme="1"/>
        <rFont val="Calibri"/>
        <family val="2"/>
        <charset val="238"/>
      </rPr>
      <t xml:space="preserve"> + ( D</t>
    </r>
    <r>
      <rPr>
        <b/>
        <sz val="8"/>
        <color theme="1"/>
        <rFont val="Calibri"/>
        <family val="2"/>
        <charset val="238"/>
      </rPr>
      <t>H</t>
    </r>
    <r>
      <rPr>
        <b/>
        <sz val="18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18"/>
        <color theme="1"/>
        <rFont val="Calibri"/>
        <family val="2"/>
        <charset val="238"/>
      </rPr>
      <t xml:space="preserve"> . R</t>
    </r>
    <r>
      <rPr>
        <b/>
        <sz val="8"/>
        <color theme="1"/>
        <rFont val="Calibri"/>
        <family val="2"/>
        <charset val="238"/>
      </rPr>
      <t>E</t>
    </r>
    <r>
      <rPr>
        <b/>
        <sz val="20"/>
        <color theme="1"/>
        <rFont val="Calibri"/>
        <family val="2"/>
        <charset val="238"/>
      </rPr>
      <t xml:space="preserve"> </t>
    </r>
    <r>
      <rPr>
        <b/>
        <sz val="18"/>
        <color theme="1"/>
        <rFont val="Calibri"/>
        <family val="2"/>
        <charset val="238"/>
      </rPr>
      <t>)</t>
    </r>
  </si>
  <si>
    <r>
      <t>1 + (R</t>
    </r>
    <r>
      <rPr>
        <b/>
        <sz val="8"/>
        <color theme="1"/>
        <rFont val="Calibri"/>
        <family val="2"/>
        <charset val="238"/>
      </rPr>
      <t>I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K</t>
    </r>
    <r>
      <rPr>
        <b/>
        <sz val="20"/>
        <color theme="1"/>
        <rFont val="Calibri"/>
        <family val="2"/>
        <charset val="238"/>
      </rPr>
      <t>)/</t>
    </r>
    <r>
      <rPr>
        <b/>
        <sz val="18"/>
        <color theme="1"/>
        <rFont val="Calibri"/>
        <family val="2"/>
        <charset val="238"/>
      </rPr>
      <t>(D</t>
    </r>
    <r>
      <rPr>
        <b/>
        <sz val="8"/>
        <color theme="1"/>
        <rFont val="Calibri"/>
        <family val="2"/>
        <charset val="238"/>
      </rPr>
      <t>H</t>
    </r>
    <r>
      <rPr>
        <b/>
        <sz val="18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18"/>
        <color theme="1"/>
        <rFont val="Calibri"/>
        <family val="2"/>
        <charset val="238"/>
      </rPr>
      <t xml:space="preserve"> . R</t>
    </r>
    <r>
      <rPr>
        <b/>
        <sz val="8"/>
        <color theme="1"/>
        <rFont val="Calibri"/>
        <family val="2"/>
        <charset val="238"/>
      </rPr>
      <t>E</t>
    </r>
    <r>
      <rPr>
        <b/>
        <sz val="20"/>
        <color theme="1"/>
        <rFont val="Calibri"/>
        <family val="2"/>
        <charset val="238"/>
      </rPr>
      <t xml:space="preserve"> </t>
    </r>
    <r>
      <rPr>
        <b/>
        <sz val="18"/>
        <color theme="1"/>
        <rFont val="Calibri"/>
        <family val="2"/>
        <charset val="238"/>
      </rPr>
      <t>)</t>
    </r>
  </si>
  <si>
    <r>
      <t>. ( t</t>
    </r>
    <r>
      <rPr>
        <b/>
        <sz val="8"/>
        <color theme="1"/>
        <rFont val="Calibri"/>
        <family val="2"/>
        <charset val="238"/>
      </rPr>
      <t>CALC</t>
    </r>
    <r>
      <rPr>
        <b/>
        <sz val="20"/>
        <color theme="1"/>
        <rFont val="Calibri"/>
        <family val="2"/>
        <charset val="238"/>
      </rPr>
      <t xml:space="preserve"> - t</t>
    </r>
    <r>
      <rPr>
        <b/>
        <sz val="8"/>
        <color theme="1"/>
        <rFont val="Calibri"/>
        <family val="2"/>
        <charset val="238"/>
      </rPr>
      <t>OK</t>
    </r>
    <r>
      <rPr>
        <b/>
        <sz val="20"/>
        <color theme="1"/>
        <rFont val="Calibri"/>
        <family val="2"/>
        <charset val="238"/>
      </rPr>
      <t>)</t>
    </r>
  </si>
  <si>
    <r>
      <t>D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20"/>
        <color theme="1"/>
        <rFont val="Calibri"/>
        <family val="2"/>
        <charset val="238"/>
      </rPr>
      <t xml:space="preserve"> . R</t>
    </r>
    <r>
      <rPr>
        <b/>
        <sz val="8"/>
        <color theme="1"/>
        <rFont val="Calibri"/>
        <family val="2"/>
        <charset val="238"/>
      </rPr>
      <t>K</t>
    </r>
  </si>
  <si>
    <t>!!! PRO VĚTRANOU VZDUCHOVOU MEZERU MIN. 40 mm !!!</t>
  </si>
  <si>
    <r>
      <t xml:space="preserve">   - hustota spalin při 0°C </t>
    </r>
    <r>
      <rPr>
        <sz val="11"/>
        <color theme="1"/>
        <rFont val="Calibri"/>
        <family val="2"/>
        <charset val="238"/>
      </rPr>
      <t>ƍ</t>
    </r>
    <r>
      <rPr>
        <sz val="8"/>
        <color theme="1"/>
        <rFont val="Calibri"/>
        <family val="2"/>
        <charset val="238"/>
      </rPr>
      <t>0</t>
    </r>
    <r>
      <rPr>
        <sz val="11"/>
        <color theme="1"/>
        <rFont val="Calibri"/>
        <family val="2"/>
        <charset val="238"/>
      </rPr>
      <t>=</t>
    </r>
  </si>
  <si>
    <r>
      <t xml:space="preserve">   - hustota vzduchu při 0°C </t>
    </r>
    <r>
      <rPr>
        <sz val="11"/>
        <color theme="1"/>
        <rFont val="Calibri"/>
        <family val="2"/>
        <charset val="238"/>
      </rPr>
      <t>ƍ</t>
    </r>
    <r>
      <rPr>
        <sz val="8"/>
        <color theme="1"/>
        <rFont val="Calibri"/>
        <family val="2"/>
        <charset val="238"/>
      </rPr>
      <t>0</t>
    </r>
    <r>
      <rPr>
        <sz val="11"/>
        <color theme="1"/>
        <rFont val="Calibri"/>
        <family val="2"/>
        <charset val="238"/>
      </rPr>
      <t>=</t>
    </r>
  </si>
  <si>
    <r>
      <t>t</t>
    </r>
    <r>
      <rPr>
        <b/>
        <sz val="8"/>
        <color theme="1"/>
        <rFont val="Calibri"/>
        <family val="2"/>
        <charset val="238"/>
      </rPr>
      <t>CALC</t>
    </r>
    <r>
      <rPr>
        <b/>
        <sz val="20"/>
        <color theme="1"/>
        <rFont val="Calibri"/>
        <family val="2"/>
        <charset val="238"/>
      </rPr>
      <t xml:space="preserve"> =</t>
    </r>
  </si>
  <si>
    <r>
      <t>R</t>
    </r>
    <r>
      <rPr>
        <b/>
        <sz val="8"/>
        <color theme="1"/>
        <rFont val="Calibri"/>
        <family val="2"/>
        <charset val="238"/>
      </rPr>
      <t>I</t>
    </r>
    <r>
      <rPr>
        <b/>
        <sz val="20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>K</t>
    </r>
    <r>
      <rPr>
        <b/>
        <sz val="20"/>
        <color theme="1"/>
        <rFont val="Calibri"/>
        <family val="2"/>
        <charset val="238"/>
      </rPr>
      <t xml:space="preserve"> + ( R</t>
    </r>
    <r>
      <rPr>
        <b/>
        <sz val="8"/>
        <color theme="1"/>
        <rFont val="Calibri"/>
        <family val="2"/>
        <charset val="238"/>
      </rPr>
      <t>ISOL</t>
    </r>
    <r>
      <rPr>
        <b/>
        <sz val="20"/>
        <color theme="1"/>
        <rFont val="Calibri"/>
        <family val="2"/>
        <charset val="238"/>
      </rPr>
      <t xml:space="preserve"> . D</t>
    </r>
    <r>
      <rPr>
        <b/>
        <sz val="8"/>
        <color theme="1"/>
        <rFont val="Calibri"/>
        <family val="2"/>
        <charset val="238"/>
      </rPr>
      <t>H</t>
    </r>
    <r>
      <rPr>
        <b/>
        <sz val="20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>HA</t>
    </r>
    <r>
      <rPr>
        <b/>
        <sz val="20"/>
        <color theme="1"/>
        <rFont val="Calibri"/>
        <family val="2"/>
        <charset val="238"/>
      </rPr>
      <t xml:space="preserve"> )</t>
    </r>
  </si>
  <si>
    <t>zápalná povrchová teplota</t>
  </si>
  <si>
    <r>
      <t>t</t>
    </r>
    <r>
      <rPr>
        <sz val="6"/>
        <color theme="1"/>
        <rFont val="Calibri"/>
        <family val="2"/>
        <charset val="238"/>
      </rPr>
      <t>ZAP</t>
    </r>
    <r>
      <rPr>
        <sz val="11"/>
        <color theme="1"/>
        <rFont val="Calibri"/>
        <family val="2"/>
        <charset val="238"/>
      </rPr>
      <t>=</t>
    </r>
  </si>
  <si>
    <r>
      <t>. ( t</t>
    </r>
    <r>
      <rPr>
        <b/>
        <sz val="8"/>
        <color theme="1"/>
        <rFont val="Calibri"/>
        <family val="2"/>
        <charset val="238"/>
      </rPr>
      <t>ZAP</t>
    </r>
    <r>
      <rPr>
        <b/>
        <sz val="20"/>
        <color theme="1"/>
        <rFont val="Calibri"/>
        <family val="2"/>
        <charset val="238"/>
      </rPr>
      <t xml:space="preserve"> - t</t>
    </r>
    <r>
      <rPr>
        <b/>
        <sz val="8"/>
        <color theme="1"/>
        <rFont val="Calibri"/>
        <family val="2"/>
        <charset val="238"/>
      </rPr>
      <t>OK</t>
    </r>
    <r>
      <rPr>
        <b/>
        <sz val="20"/>
        <color theme="1"/>
        <rFont val="Calibri"/>
        <family val="2"/>
        <charset val="238"/>
      </rPr>
      <t>)</t>
    </r>
    <r>
      <rPr>
        <b/>
        <sz val="36"/>
        <color theme="1"/>
        <rFont val="Calibri"/>
        <family val="2"/>
        <charset val="238"/>
      </rPr>
      <t>)</t>
    </r>
    <r>
      <rPr>
        <b/>
        <sz val="20"/>
        <color theme="1"/>
        <rFont val="Calibri"/>
        <family val="2"/>
        <charset val="238"/>
      </rPr>
      <t xml:space="preserve"> + t</t>
    </r>
    <r>
      <rPr>
        <b/>
        <sz val="8"/>
        <color theme="1"/>
        <rFont val="Calibri"/>
        <family val="2"/>
        <charset val="238"/>
      </rPr>
      <t>ZAP</t>
    </r>
  </si>
  <si>
    <r>
      <t xml:space="preserve"> </t>
    </r>
    <r>
      <rPr>
        <b/>
        <sz val="36"/>
        <color theme="1"/>
        <rFont val="Calibri"/>
        <family val="2"/>
        <charset val="238"/>
      </rPr>
      <t xml:space="preserve"> (</t>
    </r>
  </si>
  <si>
    <r>
      <t>( R</t>
    </r>
    <r>
      <rPr>
        <b/>
        <sz val="8"/>
        <color theme="1"/>
        <rFont val="Calibri"/>
        <family val="2"/>
        <charset val="238"/>
      </rPr>
      <t>HS</t>
    </r>
    <r>
      <rPr>
        <b/>
        <sz val="18"/>
        <color theme="1"/>
        <rFont val="Calibri"/>
        <family val="2"/>
        <charset val="238"/>
      </rPr>
      <t xml:space="preserve"> + R</t>
    </r>
    <r>
      <rPr>
        <b/>
        <sz val="8"/>
        <color theme="1"/>
        <rFont val="Calibri"/>
        <family val="2"/>
        <charset val="238"/>
      </rPr>
      <t xml:space="preserve">E </t>
    </r>
    <r>
      <rPr>
        <b/>
        <sz val="20"/>
        <color theme="1"/>
        <rFont val="Calibri"/>
        <family val="2"/>
        <charset val="238"/>
      </rPr>
      <t>)</t>
    </r>
    <r>
      <rPr>
        <b/>
        <sz val="18"/>
        <color theme="1"/>
        <rFont val="Calibri"/>
        <family val="2"/>
        <charset val="238"/>
      </rPr>
      <t xml:space="preserve"> . ( D</t>
    </r>
    <r>
      <rPr>
        <b/>
        <sz val="8"/>
        <color theme="1"/>
        <rFont val="Calibri"/>
        <family val="2"/>
        <charset val="238"/>
      </rPr>
      <t>H</t>
    </r>
    <r>
      <rPr>
        <b/>
        <sz val="18"/>
        <color theme="1"/>
        <rFont val="Calibri"/>
        <family val="2"/>
        <charset val="238"/>
      </rPr>
      <t>/D</t>
    </r>
    <r>
      <rPr>
        <b/>
        <sz val="8"/>
        <color theme="1"/>
        <rFont val="Calibri"/>
        <family val="2"/>
        <charset val="238"/>
      </rPr>
      <t xml:space="preserve">HA </t>
    </r>
    <r>
      <rPr>
        <b/>
        <sz val="18"/>
        <color theme="1"/>
        <rFont val="Calibri"/>
        <family val="2"/>
        <charset val="238"/>
      </rPr>
      <t>)</t>
    </r>
  </si>
  <si>
    <t>MAXIMÁLNÍ TEPLOTA SPALIN - TEPLOTNÍ TŘÍDA</t>
  </si>
  <si>
    <r>
      <t>Přepočet ppm a mg/m</t>
    </r>
    <r>
      <rPr>
        <b/>
        <vertAlign val="superscript"/>
        <sz val="26"/>
        <color theme="1"/>
        <rFont val="Calibri"/>
        <family val="2"/>
        <charset val="238"/>
        <scheme val="minor"/>
      </rPr>
      <t>3</t>
    </r>
  </si>
  <si>
    <t>X(ppm) =</t>
  </si>
  <si>
    <t>ppm</t>
  </si>
  <si>
    <r>
      <t>mg/m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</si>
  <si>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Y(mg/m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</si>
  <si>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</t>
    </r>
    <r>
      <rPr>
        <sz val="8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 xml:space="preserve"> =</t>
    </r>
  </si>
  <si>
    <t>molární objem ideálního plynu</t>
  </si>
  <si>
    <t>l/mol</t>
  </si>
  <si>
    <r>
      <t>X(ppm) = Y(mg/m</t>
    </r>
    <r>
      <rPr>
        <b/>
        <vertAlign val="superscript"/>
        <sz val="20"/>
        <color theme="1"/>
        <rFont val="Calibri"/>
        <family val="2"/>
        <charset val="238"/>
      </rPr>
      <t>3</t>
    </r>
    <r>
      <rPr>
        <b/>
        <sz val="20"/>
        <color theme="1"/>
        <rFont val="Calibri"/>
        <family val="2"/>
        <charset val="238"/>
      </rPr>
      <t>) . V</t>
    </r>
    <r>
      <rPr>
        <b/>
        <sz val="12"/>
        <color theme="1"/>
        <rFont val="Calibri"/>
        <family val="2"/>
        <charset val="238"/>
      </rPr>
      <t>m</t>
    </r>
    <r>
      <rPr>
        <b/>
        <sz val="20"/>
        <color theme="1"/>
        <rFont val="Calibri"/>
        <family val="2"/>
        <charset val="238"/>
      </rPr>
      <t xml:space="preserve"> / M</t>
    </r>
  </si>
  <si>
    <t>M =</t>
  </si>
  <si>
    <t>molární hmotnost konkrétní látky</t>
  </si>
  <si>
    <t>g/mol</t>
  </si>
  <si>
    <r>
      <t>Y(mg/m</t>
    </r>
    <r>
      <rPr>
        <b/>
        <vertAlign val="superscript"/>
        <sz val="20"/>
        <color theme="1"/>
        <rFont val="Calibri"/>
        <family val="2"/>
        <charset val="238"/>
      </rPr>
      <t>3</t>
    </r>
    <r>
      <rPr>
        <b/>
        <sz val="20"/>
        <color theme="1"/>
        <rFont val="Calibri"/>
        <family val="2"/>
        <charset val="238"/>
      </rPr>
      <t>) = X(ppm) . M / V</t>
    </r>
    <r>
      <rPr>
        <b/>
        <sz val="12"/>
        <color theme="1"/>
        <rFont val="Calibri"/>
        <family val="2"/>
        <charset val="238"/>
      </rPr>
      <t>m</t>
    </r>
  </si>
  <si>
    <r>
      <t>Y(mg/m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) =</t>
    </r>
  </si>
  <si>
    <t>měřená emise</t>
  </si>
  <si>
    <t>CO</t>
  </si>
  <si>
    <r>
      <t>V</t>
    </r>
    <r>
      <rPr>
        <sz val="8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scheme val="minor"/>
      </rPr>
      <t xml:space="preserve"> =</t>
    </r>
  </si>
  <si>
    <r>
      <t>Y(mg/m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  <r>
      <rPr>
        <b/>
        <sz val="20"/>
        <color theme="1"/>
        <rFont val="Calibri"/>
        <family val="2"/>
        <charset val="238"/>
        <scheme val="minor"/>
      </rPr>
      <t>) =</t>
    </r>
  </si>
  <si>
    <r>
      <t>mg/m</t>
    </r>
    <r>
      <rPr>
        <b/>
        <vertAlign val="superscript"/>
        <sz val="20"/>
        <color theme="1"/>
        <rFont val="Calibri"/>
        <family val="2"/>
        <charset val="238"/>
        <scheme val="minor"/>
      </rPr>
      <t>3</t>
    </r>
  </si>
  <si>
    <t>hodnoty M</t>
  </si>
  <si>
    <t>CO2</t>
  </si>
  <si>
    <t>O2</t>
  </si>
  <si>
    <t>NO</t>
  </si>
  <si>
    <t>NO2</t>
  </si>
  <si>
    <t>N2</t>
  </si>
  <si>
    <t>H2</t>
  </si>
  <si>
    <t>SO2</t>
  </si>
  <si>
    <t>H2O</t>
  </si>
  <si>
    <t>CH4</t>
  </si>
  <si>
    <t>He</t>
  </si>
  <si>
    <r>
      <t>hodnoty V</t>
    </r>
    <r>
      <rPr>
        <b/>
        <sz val="8"/>
        <color theme="1"/>
        <rFont val="Calibri"/>
        <family val="2"/>
        <charset val="238"/>
        <scheme val="minor"/>
      </rPr>
      <t>m</t>
    </r>
  </si>
  <si>
    <t>R =</t>
  </si>
  <si>
    <t>T - teplota okolí  =</t>
  </si>
  <si>
    <t>P - tlak =</t>
  </si>
  <si>
    <t>universální plynová konstanta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</si>
  <si>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.Pa/K.mol</t>
    </r>
  </si>
  <si>
    <r>
      <t>výpočet V</t>
    </r>
    <r>
      <rPr>
        <sz val="8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scheme val="minor"/>
      </rPr>
      <t xml:space="preserve"> pro jinou teplotu</t>
    </r>
  </si>
  <si>
    <t>Vm = R . T /P = (R . (T+273,15) / P) . 1000</t>
  </si>
  <si>
    <r>
      <t>V</t>
    </r>
    <r>
      <rPr>
        <sz val="8"/>
        <color theme="1"/>
        <rFont val="Calibri"/>
        <family val="2"/>
        <charset val="238"/>
        <scheme val="minor"/>
      </rPr>
      <t>mTP</t>
    </r>
    <r>
      <rPr>
        <sz val="11"/>
        <color theme="1"/>
        <rFont val="Calibri"/>
        <family val="2"/>
        <scheme val="minor"/>
      </rPr>
      <t xml:space="preserve"> =</t>
    </r>
  </si>
  <si>
    <t>Pa = 1 bar</t>
  </si>
  <si>
    <t>výpočet M pro jinou sloučeninu</t>
  </si>
  <si>
    <t>součtem atomových relativních hmotností jednotlivých prvků z periodické tabulky prvků násobených jejich počtem ve sloučenině</t>
  </si>
  <si>
    <t>znalost M dovolí přepočet mezi hmotností (g) a látkovým množstvím (mol)</t>
  </si>
  <si>
    <r>
      <t>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/s</t>
    </r>
  </si>
  <si>
    <r>
      <t>M</t>
    </r>
    <r>
      <rPr>
        <b/>
        <sz val="10"/>
        <color theme="1"/>
        <rFont val="Calibri"/>
        <family val="2"/>
        <charset val="238"/>
        <scheme val="minor"/>
      </rPr>
      <t>SP</t>
    </r>
    <r>
      <rPr>
        <b/>
        <sz val="16"/>
        <color theme="1"/>
        <rFont val="Calibri"/>
        <family val="2"/>
        <charset val="238"/>
        <scheme val="minor"/>
      </rPr>
      <t xml:space="preserve"> = M</t>
    </r>
    <r>
      <rPr>
        <b/>
        <sz val="10"/>
        <color theme="1"/>
        <rFont val="Calibri"/>
        <family val="2"/>
        <charset val="238"/>
        <scheme val="minor"/>
      </rPr>
      <t>SP-W</t>
    </r>
    <r>
      <rPr>
        <b/>
        <sz val="16"/>
        <color theme="1"/>
        <rFont val="Calibri"/>
        <family val="2"/>
        <charset val="238"/>
        <scheme val="minor"/>
      </rPr>
      <t xml:space="preserve"> . </t>
    </r>
    <r>
      <rPr>
        <b/>
        <sz val="16"/>
        <color theme="1"/>
        <rFont val="Calibri"/>
        <family val="2"/>
        <charset val="238"/>
      </rPr>
      <t>m</t>
    </r>
  </si>
  <si>
    <r>
      <t>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/hod</t>
    </r>
  </si>
  <si>
    <t>MAXIMÁLNÍ POVRCHOVÁ TEPLOTA - VOLNÝ POVRCH</t>
  </si>
  <si>
    <r>
      <t>t</t>
    </r>
    <r>
      <rPr>
        <b/>
        <sz val="8"/>
        <color theme="1"/>
        <rFont val="Calibri"/>
        <family val="2"/>
        <charset val="238"/>
      </rPr>
      <t>ZAP</t>
    </r>
    <r>
      <rPr>
        <b/>
        <sz val="20"/>
        <color theme="1"/>
        <rFont val="Calibri"/>
        <family val="2"/>
        <charset val="238"/>
      </rPr>
      <t xml:space="preserve"> =</t>
    </r>
  </si>
  <si>
    <t>SKAMOTEC 225</t>
  </si>
  <si>
    <t>f = 1/Ri . (ti - tsi)</t>
  </si>
  <si>
    <t>f = 1/Rk . (tsi - tse)</t>
  </si>
  <si>
    <t>f = 1/Re . (tse - te)</t>
  </si>
  <si>
    <t>tse = te + U.Re . (ti - te)</t>
  </si>
  <si>
    <t>tse = te + Re/(Ri + Rk + Re) . (ti - te)</t>
  </si>
  <si>
    <t>U = 1/(Ri + Rk + Re)</t>
  </si>
  <si>
    <t>f = 1/(Ri + Rk + Re) . (ti - te) = U . (ti - te)</t>
  </si>
  <si>
    <t>tepelný tok - rovná stěna - vztaženo na plochu</t>
  </si>
  <si>
    <t>tepelný tok - kruhová stěna - vztaženo na délku</t>
  </si>
  <si>
    <t>W/m2</t>
  </si>
  <si>
    <t>W/m</t>
  </si>
  <si>
    <r>
      <t xml:space="preserve">f1 = 2 . π . </t>
    </r>
    <r>
      <rPr>
        <sz val="11"/>
        <color theme="1"/>
        <rFont val="Calibri"/>
        <family val="2"/>
        <charset val="238"/>
      </rPr>
      <t>λ . (</t>
    </r>
    <r>
      <rPr>
        <sz val="11"/>
        <color theme="1"/>
        <rFont val="Calibri"/>
        <family val="2"/>
        <scheme val="minor"/>
      </rPr>
      <t>(tsi - tse) / (ln Dha/Dh))</t>
    </r>
  </si>
  <si>
    <r>
      <t>λ</t>
    </r>
    <r>
      <rPr>
        <sz val="6"/>
        <color theme="1"/>
        <rFont val="Calibri"/>
        <family val="2"/>
        <charset val="238"/>
      </rPr>
      <t>K</t>
    </r>
    <r>
      <rPr>
        <sz val="11"/>
        <color theme="1"/>
        <rFont val="Calibri"/>
        <family val="2"/>
        <charset val="238"/>
      </rPr>
      <t xml:space="preserve"> =</t>
    </r>
  </si>
  <si>
    <t>součinitel tepelné vodivosti komínu</t>
  </si>
  <si>
    <r>
      <t>W/m</t>
    </r>
    <r>
      <rPr>
        <sz val="11"/>
        <color theme="1"/>
        <rFont val="Calibri"/>
        <family val="2"/>
        <charset val="238"/>
      </rPr>
      <t>.K</t>
    </r>
  </si>
  <si>
    <t>W/m2.K</t>
  </si>
  <si>
    <r>
      <t xml:space="preserve">f1 = U1 . </t>
    </r>
    <r>
      <rPr>
        <sz val="11"/>
        <color theme="1"/>
        <rFont val="Calibri"/>
        <family val="2"/>
        <charset val="238"/>
      </rPr>
      <t>π . (ti - te)</t>
    </r>
  </si>
  <si>
    <t>tse = te + ((U1/Dha) . Re . (ti - te))</t>
  </si>
  <si>
    <t>f1 = 1/Re . π . Dha . (tse - te)</t>
  </si>
  <si>
    <r>
      <t xml:space="preserve">f1 = 1/Ri . </t>
    </r>
    <r>
      <rPr>
        <sz val="11"/>
        <color theme="1"/>
        <rFont val="Calibri"/>
        <family val="2"/>
        <charset val="238"/>
      </rPr>
      <t>π . Dh . (ti - tsi)</t>
    </r>
  </si>
  <si>
    <t>tsi = ti - U  .Ri . (ti - te)</t>
  </si>
  <si>
    <t>tsi = ti - ((U1 /Dh) . Ri . (ti - te))</t>
  </si>
  <si>
    <t>co2</t>
  </si>
  <si>
    <t>procentní obsah</t>
  </si>
  <si>
    <t>hmotnostní obsah</t>
  </si>
  <si>
    <t>Výpočet tlaku</t>
  </si>
  <si>
    <t>p = F / s     [Pa = N/m2]</t>
  </si>
  <si>
    <t>hmotnost</t>
  </si>
  <si>
    <t>kg</t>
  </si>
  <si>
    <t>s =</t>
  </si>
  <si>
    <t>plocha</t>
  </si>
  <si>
    <t>tíhové zrychlení</t>
  </si>
  <si>
    <t>F =</t>
  </si>
  <si>
    <t>síla</t>
  </si>
  <si>
    <t>N</t>
  </si>
  <si>
    <r>
      <t>m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</si>
  <si>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 =</t>
  </si>
  <si>
    <t>Mpa</t>
  </si>
  <si>
    <t>strana A</t>
  </si>
  <si>
    <t>strana B</t>
  </si>
  <si>
    <t>vše v [m]</t>
  </si>
  <si>
    <r>
      <t>U1 = 1/((Ri/Dh) + (</t>
    </r>
    <r>
      <rPr>
        <sz val="11"/>
        <color theme="1"/>
        <rFont val="Calibri"/>
        <family val="2"/>
        <charset val="238"/>
      </rPr>
      <t>Ʃ 1/2λ . ln Dha/Dh) + Re/Dha))</t>
    </r>
  </si>
  <si>
    <r>
      <t>F = m . g     [N = kg.(m/s</t>
    </r>
    <r>
      <rPr>
        <b/>
        <vertAlign val="superscript"/>
        <sz val="20"/>
        <color theme="1"/>
        <rFont val="Calibri"/>
        <family val="2"/>
        <charset val="238"/>
      </rPr>
      <t>2</t>
    </r>
    <r>
      <rPr>
        <b/>
        <sz val="20"/>
        <color theme="1"/>
        <rFont val="Calibri"/>
        <family val="2"/>
        <charset val="238"/>
      </rPr>
      <t>)]</t>
    </r>
  </si>
  <si>
    <r>
      <t>V</t>
    </r>
    <r>
      <rPr>
        <b/>
        <sz val="10"/>
        <color theme="1"/>
        <rFont val="Calibri"/>
        <family val="2"/>
        <charset val="238"/>
        <scheme val="minor"/>
      </rPr>
      <t>VZDUCH-S-W</t>
    </r>
    <r>
      <rPr>
        <b/>
        <sz val="16"/>
        <color theme="1"/>
        <rFont val="Calibri"/>
        <family val="2"/>
        <charset val="238"/>
        <scheme val="minor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</si>
  <si>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VZDUCH-S-W</t>
    </r>
    <r>
      <rPr>
        <sz val="11"/>
        <color theme="1"/>
        <rFont val="Calibri"/>
        <family val="2"/>
        <scheme val="minor"/>
      </rPr>
      <t xml:space="preserve"> x (</t>
    </r>
    <r>
      <rPr>
        <sz val="11"/>
        <color theme="1"/>
        <rFont val="Calibri"/>
        <family val="2"/>
        <charset val="238"/>
      </rPr>
      <t>λ-1)</t>
    </r>
    <r>
      <rPr>
        <sz val="11"/>
        <color theme="1"/>
        <rFont val="Calibri"/>
        <family val="2"/>
        <scheme val="minor"/>
      </rPr>
      <t xml:space="preserve"> = </t>
    </r>
  </si>
  <si>
    <t>c sp.plynu =</t>
  </si>
  <si>
    <t>Skutečný objem spalovacího vzduchu se stanoví z rovnice:</t>
  </si>
  <si>
    <t xml:space="preserve">VVT - stechiometrický objem spalovacího vzduchu     [m3.m-3] (tab. 13) </t>
  </si>
  <si>
    <r>
      <t>Skutečný objem vlhkých spalin, vzniklý spálením 1 m</t>
    </r>
    <r>
      <rPr>
        <vertAlign val="superscript"/>
        <sz val="7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(101 325 Pa, 0°C) zemního plynu s násobkem stechiometrického objemu spalovacího vzduchu </t>
    </r>
    <r>
      <rPr>
        <b/>
        <sz val="10"/>
        <color rgb="FF000000"/>
        <rFont val="Arial"/>
        <family val="2"/>
        <charset val="238"/>
      </rPr>
      <t>n &gt; 1</t>
    </r>
    <r>
      <rPr>
        <sz val="10"/>
        <color rgb="FF000000"/>
        <rFont val="Arial"/>
        <family val="2"/>
        <charset val="238"/>
      </rPr>
      <t xml:space="preserve"> pak tedy je:</t>
    </r>
  </si>
  <si>
    <t>VVT - stechiometrický objem vzduchu     [m3.m-3] (tab. 13)</t>
  </si>
  <si>
    <t xml:space="preserve">VvST - stechiometrický objem vlhkých spalin (tab. 15)     [m3.m-3] </t>
  </si>
  <si>
    <t>g</t>
  </si>
  <si>
    <t>Dilatace trubek</t>
  </si>
  <si>
    <r>
      <t>Δl = l</t>
    </r>
    <r>
      <rPr>
        <b/>
        <sz val="14"/>
        <color theme="1"/>
        <rFont val="Calibri"/>
        <family val="2"/>
        <charset val="238"/>
      </rPr>
      <t>0</t>
    </r>
    <r>
      <rPr>
        <b/>
        <sz val="20"/>
        <color theme="1"/>
        <rFont val="Calibri"/>
        <family val="2"/>
        <charset val="238"/>
      </rPr>
      <t xml:space="preserve"> . α . Δt     [mm]</t>
    </r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</si>
  <si>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</rPr>
      <t>l</t>
    </r>
    <r>
      <rPr>
        <sz val="11"/>
        <color theme="1"/>
        <rFont val="Calibri"/>
        <family val="2"/>
        <scheme val="minor"/>
      </rPr>
      <t xml:space="preserve"> =</t>
    </r>
  </si>
  <si>
    <t>změna délky potrubí</t>
  </si>
  <si>
    <r>
      <t>l</t>
    </r>
    <r>
      <rPr>
        <sz val="8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</si>
  <si>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délka úseku potrubí</t>
  </si>
  <si>
    <t>α =</t>
  </si>
  <si>
    <t>součinitel teplotní délkové roztažnosti potrubí</t>
  </si>
  <si>
    <t>mm/m.K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</si>
  <si>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=</t>
    </r>
  </si>
  <si>
    <t>rozdíl (nárůst) teplot</t>
  </si>
  <si>
    <t>t mimo provoz =</t>
  </si>
  <si>
    <t>t provozní (spalin) =</t>
  </si>
  <si>
    <t>maximálně 200°C</t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</si>
  <si>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</rPr>
      <t xml:space="preserve"> =</t>
    </r>
  </si>
  <si>
    <t>ocel</t>
  </si>
  <si>
    <t>hliník</t>
  </si>
  <si>
    <t>PEX</t>
  </si>
  <si>
    <t>Δl =</t>
  </si>
  <si>
    <r>
      <t>U</t>
    </r>
    <r>
      <rPr>
        <sz val="8"/>
        <color theme="1"/>
        <rFont val="Calibri"/>
        <family val="2"/>
        <charset val="238"/>
      </rPr>
      <t>i</t>
    </r>
    <r>
      <rPr>
        <sz val="11"/>
        <color theme="1"/>
        <rFont val="Calibri"/>
        <family val="2"/>
        <charset val="238"/>
      </rPr>
      <t xml:space="preserve"> = 2 + 10.(v</t>
    </r>
    <r>
      <rPr>
        <sz val="8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>)</t>
    </r>
    <r>
      <rPr>
        <vertAlign val="superscript"/>
        <sz val="11"/>
        <color theme="1"/>
        <rFont val="Calibri"/>
        <family val="2"/>
        <charset val="238"/>
      </rPr>
      <t>0,5</t>
    </r>
  </si>
  <si>
    <r>
      <t>[W/m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.K]</t>
    </r>
  </si>
  <si>
    <r>
      <t>v</t>
    </r>
    <r>
      <rPr>
        <sz val="8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 xml:space="preserve"> = </t>
    </r>
  </si>
  <si>
    <r>
      <t>U</t>
    </r>
    <r>
      <rPr>
        <sz val="8"/>
        <color theme="1"/>
        <rFont val="Calibri"/>
        <family val="2"/>
        <charset val="238"/>
      </rPr>
      <t>i</t>
    </r>
    <r>
      <rPr>
        <sz val="11"/>
        <color theme="1"/>
        <rFont val="Calibri"/>
        <family val="2"/>
        <charset val="238"/>
      </rPr>
      <t xml:space="preserve"> =</t>
    </r>
  </si>
  <si>
    <r>
      <t>R</t>
    </r>
    <r>
      <rPr>
        <sz val="8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</si>
  <si>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uvnitř budovy</t>
  </si>
  <si>
    <t>vně budovy</t>
  </si>
  <si>
    <r>
      <t>U</t>
    </r>
    <r>
      <rPr>
        <sz val="8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scheme val="minor"/>
      </rPr>
      <t xml:space="preserve"> = 8</t>
    </r>
  </si>
  <si>
    <r>
      <t>U</t>
    </r>
    <r>
      <rPr>
        <sz val="8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scheme val="minor"/>
      </rPr>
      <t xml:space="preserve"> = 23</t>
    </r>
  </si>
  <si>
    <t>vzduchová mezera - 200°C</t>
  </si>
  <si>
    <r>
      <t>λ</t>
    </r>
    <r>
      <rPr>
        <b/>
        <sz val="11"/>
        <color theme="1"/>
        <rFont val="Calibri"/>
        <family val="2"/>
        <charset val="238"/>
      </rPr>
      <t>VM</t>
    </r>
  </si>
  <si>
    <t>Tepelná kapacita</t>
  </si>
  <si>
    <t>Měrná tepelná kapacita</t>
  </si>
  <si>
    <t>množství tepla potřebného k ohřátí 1 kg látky o 1°</t>
  </si>
  <si>
    <t>C = m . c = Q / Δt     [J/K]</t>
  </si>
  <si>
    <t>c = C / m = Q / (m. Δt)     [J/kg.K]</t>
  </si>
  <si>
    <t>C =</t>
  </si>
  <si>
    <t>tepelná kapacita</t>
  </si>
  <si>
    <t>J/K</t>
  </si>
  <si>
    <t>teplo</t>
  </si>
  <si>
    <t>Δt =</t>
  </si>
  <si>
    <r>
      <rPr>
        <sz val="11"/>
        <color theme="1"/>
        <rFont val="Calibri"/>
        <family val="2"/>
        <charset val="238"/>
      </rPr>
      <t>ƍ</t>
    </r>
    <r>
      <rPr>
        <sz val="11"/>
        <color theme="1"/>
        <rFont val="Calibri"/>
        <family val="2"/>
      </rPr>
      <t xml:space="preserve"> =</t>
    </r>
  </si>
  <si>
    <t>tabulka</t>
  </si>
  <si>
    <t>λ</t>
  </si>
  <si>
    <t>[W/m.K]</t>
  </si>
  <si>
    <t>c</t>
  </si>
  <si>
    <t>[J/kg.K]</t>
  </si>
  <si>
    <t>ƍ</t>
  </si>
  <si>
    <t>[kg/m3]</t>
  </si>
  <si>
    <t>vzduch</t>
  </si>
  <si>
    <t>plynobeton</t>
  </si>
  <si>
    <t>beton</t>
  </si>
  <si>
    <t>sádrokarton</t>
  </si>
  <si>
    <t>cihelná zeď</t>
  </si>
  <si>
    <t>kalciumsilikát</t>
  </si>
  <si>
    <t>C/m3</t>
  </si>
  <si>
    <t>[J/K. m3]</t>
  </si>
  <si>
    <r>
      <t xml:space="preserve"> . 10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</si>
  <si>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Q (100°)</t>
  </si>
  <si>
    <t>[kJ/m3]</t>
  </si>
  <si>
    <t>[kWh/m3]</t>
  </si>
  <si>
    <r>
      <t>množství </t>
    </r>
    <r>
      <rPr>
        <sz val="14"/>
        <color rgb="FF0B0080"/>
        <rFont val="Calibri"/>
        <family val="2"/>
        <charset val="238"/>
        <scheme val="minor"/>
      </rPr>
      <t>tepla</t>
    </r>
    <r>
      <rPr>
        <sz val="14"/>
        <color rgb="FF222222"/>
        <rFont val="Calibri"/>
        <family val="2"/>
        <charset val="238"/>
        <scheme val="minor"/>
      </rPr>
      <t>, kterým se </t>
    </r>
    <r>
      <rPr>
        <sz val="14"/>
        <color rgb="FF0B0080"/>
        <rFont val="Calibri"/>
        <family val="2"/>
        <charset val="238"/>
        <scheme val="minor"/>
      </rPr>
      <t>těleso</t>
    </r>
    <r>
      <rPr>
        <sz val="14"/>
        <color rgb="FF222222"/>
        <rFont val="Calibri"/>
        <family val="2"/>
        <charset val="238"/>
        <scheme val="minor"/>
      </rPr>
      <t> ohřeje o jednotkový </t>
    </r>
    <r>
      <rPr>
        <sz val="14"/>
        <color rgb="FF0B0080"/>
        <rFont val="Calibri"/>
        <family val="2"/>
        <charset val="238"/>
        <scheme val="minor"/>
      </rPr>
      <t>teplotní</t>
    </r>
    <r>
      <rPr>
        <sz val="14"/>
        <color rgb="FF222222"/>
        <rFont val="Calibri"/>
        <family val="2"/>
        <charset val="238"/>
        <scheme val="minor"/>
      </rPr>
      <t> rozdíl </t>
    </r>
  </si>
  <si>
    <t>Přepočet plochy kruhu a čtverce</t>
  </si>
  <si>
    <t>DN = (2 . a . b) / (a + b)     [mm]</t>
  </si>
  <si>
    <t>Přepočet hydraulický</t>
  </si>
  <si>
    <t>Přepočet plošný</t>
  </si>
  <si>
    <t>DN = 1,128 . a =  1,128 . √(a . b)  [mm]</t>
  </si>
  <si>
    <r>
      <rPr>
        <sz val="11"/>
        <color theme="1"/>
        <rFont val="Calibri"/>
        <family val="2"/>
        <charset val="238"/>
      </rPr>
      <t>DN</t>
    </r>
    <r>
      <rPr>
        <sz val="11"/>
        <color theme="1"/>
        <rFont val="Calibri"/>
        <family val="2"/>
        <scheme val="minor"/>
      </rPr>
      <t xml:space="preserve"> =</t>
    </r>
  </si>
  <si>
    <t>průměr kruhu</t>
  </si>
  <si>
    <t>a =</t>
  </si>
  <si>
    <t>délka jedné strany obdélníku</t>
  </si>
  <si>
    <t>b =</t>
  </si>
  <si>
    <t>délka druhé strany obdélníku</t>
  </si>
  <si>
    <t>DN =</t>
  </si>
  <si>
    <t>hydraulicky</t>
  </si>
  <si>
    <t>plošně</t>
  </si>
  <si>
    <t xml:space="preserve"> </t>
  </si>
  <si>
    <t>tepelný tok - rovná stěna - vztaženo na plochu - vrstvy</t>
  </si>
  <si>
    <t>celkový =</t>
  </si>
  <si>
    <r>
      <t>R</t>
    </r>
    <r>
      <rPr>
        <sz val="6"/>
        <color theme="1"/>
        <rFont val="Calibri"/>
        <family val="2"/>
        <charset val="238"/>
      </rPr>
      <t>K1</t>
    </r>
    <r>
      <rPr>
        <sz val="11"/>
        <color theme="1"/>
        <rFont val="Calibri"/>
        <family val="2"/>
        <charset val="238"/>
      </rPr>
      <t xml:space="preserve"> =</t>
    </r>
  </si>
  <si>
    <r>
      <t>R</t>
    </r>
    <r>
      <rPr>
        <sz val="6"/>
        <color theme="1"/>
        <rFont val="Calibri"/>
        <family val="2"/>
        <charset val="238"/>
      </rPr>
      <t>K2</t>
    </r>
    <r>
      <rPr>
        <sz val="11"/>
        <color theme="1"/>
        <rFont val="Calibri"/>
        <family val="2"/>
        <charset val="238"/>
      </rPr>
      <t xml:space="preserve"> =</t>
    </r>
  </si>
  <si>
    <r>
      <t>R</t>
    </r>
    <r>
      <rPr>
        <sz val="6"/>
        <color theme="1"/>
        <rFont val="Calibri"/>
        <family val="2"/>
        <charset val="238"/>
      </rPr>
      <t>K3</t>
    </r>
    <r>
      <rPr>
        <sz val="11"/>
        <color theme="1"/>
        <rFont val="Calibri"/>
        <family val="2"/>
        <charset val="238"/>
      </rPr>
      <t xml:space="preserve"> =</t>
    </r>
  </si>
  <si>
    <t>vrstva 1 =</t>
  </si>
  <si>
    <t>vrstva 3 =</t>
  </si>
  <si>
    <t>vrstva 2 =</t>
  </si>
  <si>
    <t>f = 1/Rk1 . (tsi - t1)</t>
  </si>
  <si>
    <t>f = 1/Rk2 . (t1 - t2)</t>
  </si>
  <si>
    <t>f = 1/Rk3 . (t2 - tse)</t>
  </si>
  <si>
    <t>t1 = tsi - U  .R1 . (ti - te)</t>
  </si>
  <si>
    <t>t2 = t1 - U  .R2 . (ti - te)</t>
  </si>
  <si>
    <t>tse = t2 - U  .R3 . (ti - te)</t>
  </si>
  <si>
    <t>Individuální komín - základní výpočet</t>
  </si>
  <si>
    <t>vrstva 1</t>
  </si>
  <si>
    <t>šamotová vložka</t>
  </si>
  <si>
    <t>tloušťka</t>
  </si>
  <si>
    <t>minerální vata</t>
  </si>
  <si>
    <t>keramzit beton</t>
  </si>
  <si>
    <t>ʎ =</t>
  </si>
  <si>
    <t>popis</t>
  </si>
  <si>
    <t>tepelná vodivost</t>
  </si>
  <si>
    <t>vrstva 2</t>
  </si>
  <si>
    <t>vrstva 3</t>
  </si>
  <si>
    <t>vrstva 4</t>
  </si>
  <si>
    <t>A1N1 - T600 N1 D 3 G (EN 1457)</t>
  </si>
  <si>
    <t>popis dle komponent</t>
  </si>
  <si>
    <t xml:space="preserve"> - standardní výpočet</t>
  </si>
  <si>
    <t xml:space="preserve">zadáno  </t>
  </si>
  <si>
    <t>Ri =</t>
  </si>
  <si>
    <t>Re =</t>
  </si>
  <si>
    <t>R celk =</t>
  </si>
  <si>
    <t xml:space="preserve"> - dle metodiky ČSN EN 15 287-1</t>
  </si>
  <si>
    <t>popis dle tep.odporu</t>
  </si>
  <si>
    <t>Teplotní třída pro povrchovou teplotu max.85°C</t>
  </si>
  <si>
    <t xml:space="preserve"> - standardní výpočet dle tepelného toku</t>
  </si>
  <si>
    <t>T p max =</t>
  </si>
  <si>
    <t>popis dle povrch.teploty</t>
  </si>
  <si>
    <t>T400 N1 D 3 G50 R32</t>
  </si>
  <si>
    <t xml:space="preserve">Bezpečná vzdálenost </t>
  </si>
  <si>
    <t xml:space="preserve"> - stanovena zhotovitelem stavby komínu </t>
  </si>
  <si>
    <t>pro T p max =</t>
  </si>
  <si>
    <t xml:space="preserve">L bezp = </t>
  </si>
  <si>
    <t>popis dle bezp.vzdálenosti</t>
  </si>
  <si>
    <t>finální zatřídění -</t>
  </si>
  <si>
    <t>Keramika Letovice s.r.o.</t>
  </si>
  <si>
    <t>AKURAT izolacie (Polsko)</t>
  </si>
  <si>
    <t>provozní teplota 400°C = T400</t>
  </si>
  <si>
    <t>T400 N1 D 3 G50</t>
  </si>
  <si>
    <t>CJ Blok Spolka z.o.o. (Polsko)</t>
  </si>
  <si>
    <t>EN 12446 T600 (N) G (50)</t>
  </si>
  <si>
    <t>Wh/K</t>
  </si>
  <si>
    <t>vstupní</t>
  </si>
  <si>
    <t>výstupní</t>
  </si>
  <si>
    <t>Q = C .  Δt = m . c .  Δt    [J]</t>
  </si>
  <si>
    <t>Wh</t>
  </si>
  <si>
    <t>měrná objemová hmotnost (hustota)</t>
  </si>
  <si>
    <t>výška nad hřebenem</t>
  </si>
  <si>
    <t>vzdálennost od hřebene</t>
  </si>
  <si>
    <t>sklon střechy</t>
  </si>
  <si>
    <t>°</t>
  </si>
  <si>
    <t xml:space="preserve">minimální výška </t>
  </si>
  <si>
    <t xml:space="preserve"> - nad hřebenem</t>
  </si>
  <si>
    <t xml:space="preserve"> - nad střechou</t>
  </si>
  <si>
    <t xml:space="preserve"> - délka</t>
  </si>
  <si>
    <t xml:space="preserve"> - výška</t>
  </si>
  <si>
    <t>výška na ploché střeše s překážkou</t>
  </si>
  <si>
    <t>vzdálenost od překážky</t>
  </si>
  <si>
    <t>výška překážky</t>
  </si>
  <si>
    <t>minimální výška komínu</t>
  </si>
  <si>
    <t>vliv překážky</t>
  </si>
  <si>
    <t>výška překážky nad ústím</t>
  </si>
  <si>
    <t>max.výška</t>
  </si>
  <si>
    <t xml:space="preserve">šířka překážky v rovině ústí </t>
  </si>
  <si>
    <t>max.šířka</t>
  </si>
  <si>
    <t>řez válcem - šikmá rozeta</t>
  </si>
  <si>
    <t>průměr komínu</t>
  </si>
  <si>
    <t>mm, m</t>
  </si>
  <si>
    <t>převýšení</t>
  </si>
  <si>
    <t>dlouhá osa</t>
  </si>
  <si>
    <t>ochranné pásmo</t>
  </si>
  <si>
    <t>úhel OP</t>
  </si>
  <si>
    <t>okolí vývodu</t>
  </si>
  <si>
    <t>výška OP</t>
  </si>
  <si>
    <t>šířka OP - dole</t>
  </si>
  <si>
    <t xml:space="preserve">                 - nahoře</t>
  </si>
  <si>
    <t>Sklon střechy (výpočet úhlu)</t>
  </si>
  <si>
    <t>úhel sklonu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</si>
</sst>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0.0"/>
    <numFmt numFmtId="167" formatCode="0.000000"/>
    <numFmt numFmtId="168" formatCode="#,##0.000"/>
    <numFmt numFmtId="169" formatCode="0.00000000"/>
    <numFmt numFmtId="170" formatCode="0.00000"/>
    <numFmt numFmtId="171" formatCode="#,##0.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6"/>
      <color theme="1"/>
      <name val="Calibri"/>
      <family val="2"/>
      <charset val="238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charset val="238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vertAlign val="superscript"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vertAlign val="superscript"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vertAlign val="subscript"/>
      <sz val="18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bscript"/>
      <sz val="20"/>
      <color theme="1"/>
      <name val="Calibri"/>
      <family val="2"/>
      <charset val="238"/>
    </font>
    <font>
      <b/>
      <vertAlign val="superscript"/>
      <sz val="2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6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6"/>
      <color theme="1"/>
      <name val="Calibri"/>
      <family val="2"/>
      <charset val="238"/>
    </font>
    <font>
      <b/>
      <vertAlign val="superscript"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36"/>
      <color theme="1"/>
      <name val="Calibri"/>
      <family val="2"/>
      <charset val="238"/>
    </font>
    <font>
      <b/>
      <vertAlign val="superscript"/>
      <sz val="2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rgb="FF222222"/>
      <name val="Calibri"/>
      <family val="2"/>
      <charset val="238"/>
      <scheme val="minor"/>
    </font>
    <font>
      <sz val="14"/>
      <color rgb="FF0B008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0" fillId="0" borderId="0" applyNumberFormat="0" applyFill="0" applyBorder="0" applyAlignment="0" applyProtection="0"/>
  </cellStyleXfs>
  <cellXfs count="739">
    <xf numFmtId="0" fontId="0" fillId="0" borderId="0" xfId="0"/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23" fillId="0" borderId="0" xfId="0" applyFont="1" applyAlignment="1">
      <alignment horizontal="center"/>
    </xf>
    <xf numFmtId="0" fontId="25" fillId="0" borderId="0" xfId="0" applyFont="1"/>
    <xf numFmtId="0" fontId="29" fillId="0" borderId="0" xfId="0" applyFont="1"/>
    <xf numFmtId="0" fontId="30" fillId="0" borderId="0" xfId="0" applyFont="1"/>
    <xf numFmtId="0" fontId="28" fillId="3" borderId="2" xfId="0" applyFont="1" applyFill="1" applyBorder="1"/>
    <xf numFmtId="0" fontId="28" fillId="3" borderId="3" xfId="0" applyFont="1" applyFill="1" applyBorder="1"/>
    <xf numFmtId="0" fontId="23" fillId="0" borderId="0" xfId="0" applyFont="1"/>
    <xf numFmtId="0" fontId="34" fillId="0" borderId="0" xfId="0" applyFont="1" applyBorder="1" applyAlignment="1">
      <alignment horizontal="center"/>
    </xf>
    <xf numFmtId="0" fontId="23" fillId="2" borderId="4" xfId="0" applyFont="1" applyFill="1" applyBorder="1"/>
    <xf numFmtId="0" fontId="23" fillId="0" borderId="4" xfId="0" applyFont="1" applyBorder="1"/>
    <xf numFmtId="0" fontId="33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27" fillId="3" borderId="1" xfId="0" applyFont="1" applyFill="1" applyBorder="1"/>
    <xf numFmtId="0" fontId="27" fillId="3" borderId="2" xfId="0" applyFont="1" applyFill="1" applyBorder="1"/>
    <xf numFmtId="0" fontId="31" fillId="0" borderId="0" xfId="0" applyFont="1"/>
    <xf numFmtId="164" fontId="23" fillId="4" borderId="5" xfId="0" applyNumberFormat="1" applyFont="1" applyFill="1" applyBorder="1"/>
    <xf numFmtId="0" fontId="23" fillId="0" borderId="9" xfId="0" applyFont="1" applyBorder="1"/>
    <xf numFmtId="0" fontId="23" fillId="0" borderId="0" xfId="0" applyFont="1" applyBorder="1"/>
    <xf numFmtId="0" fontId="23" fillId="2" borderId="13" xfId="0" applyFont="1" applyFill="1" applyBorder="1"/>
    <xf numFmtId="0" fontId="23" fillId="0" borderId="13" xfId="0" applyFont="1" applyBorder="1"/>
    <xf numFmtId="0" fontId="30" fillId="0" borderId="14" xfId="0" applyFont="1" applyBorder="1"/>
    <xf numFmtId="0" fontId="30" fillId="0" borderId="0" xfId="0" applyFont="1" applyBorder="1"/>
    <xf numFmtId="0" fontId="23" fillId="0" borderId="14" xfId="0" applyFont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164" fontId="3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42" fillId="0" borderId="0" xfId="0" applyFont="1"/>
    <xf numFmtId="164" fontId="21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40" fillId="3" borderId="1" xfId="0" applyFont="1" applyFill="1" applyBorder="1"/>
    <xf numFmtId="0" fontId="0" fillId="0" borderId="4" xfId="0" applyBorder="1" applyAlignment="1">
      <alignment horizontal="center"/>
    </xf>
    <xf numFmtId="0" fontId="19" fillId="0" borderId="0" xfId="0" applyFont="1"/>
    <xf numFmtId="0" fontId="21" fillId="2" borderId="4" xfId="0" applyFont="1" applyFill="1" applyBorder="1"/>
    <xf numFmtId="0" fontId="21" fillId="0" borderId="4" xfId="0" applyFont="1" applyBorder="1"/>
    <xf numFmtId="164" fontId="21" fillId="0" borderId="4" xfId="0" applyNumberFormat="1" applyFont="1" applyBorder="1"/>
    <xf numFmtId="0" fontId="21" fillId="0" borderId="5" xfId="0" applyFont="1" applyBorder="1"/>
    <xf numFmtId="0" fontId="19" fillId="0" borderId="18" xfId="0" applyFont="1" applyBorder="1"/>
    <xf numFmtId="0" fontId="21" fillId="0" borderId="13" xfId="0" applyFont="1" applyBorder="1"/>
    <xf numFmtId="0" fontId="20" fillId="0" borderId="13" xfId="0" applyFont="1" applyBorder="1"/>
    <xf numFmtId="164" fontId="21" fillId="4" borderId="13" xfId="0" applyNumberFormat="1" applyFont="1" applyFill="1" applyBorder="1"/>
    <xf numFmtId="0" fontId="19" fillId="4" borderId="19" xfId="0" applyFont="1" applyFill="1" applyBorder="1"/>
    <xf numFmtId="0" fontId="21" fillId="0" borderId="20" xfId="0" applyFont="1" applyBorder="1"/>
    <xf numFmtId="0" fontId="21" fillId="0" borderId="14" xfId="0" applyFont="1" applyBorder="1"/>
    <xf numFmtId="164" fontId="21" fillId="4" borderId="23" xfId="0" applyNumberFormat="1" applyFont="1" applyFill="1" applyBorder="1"/>
    <xf numFmtId="0" fontId="19" fillId="4" borderId="24" xfId="0" applyFont="1" applyFill="1" applyBorder="1"/>
    <xf numFmtId="0" fontId="23" fillId="2" borderId="4" xfId="0" applyFont="1" applyFill="1" applyBorder="1" applyAlignment="1">
      <alignment horizontal="center"/>
    </xf>
    <xf numFmtId="0" fontId="43" fillId="0" borderId="0" xfId="0" applyFont="1"/>
    <xf numFmtId="0" fontId="19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164" fontId="21" fillId="0" borderId="0" xfId="0" applyNumberFormat="1" applyFont="1" applyAlignment="1">
      <alignment horizontal="right"/>
    </xf>
    <xf numFmtId="10" fontId="21" fillId="0" borderId="0" xfId="0" applyNumberFormat="1" applyFont="1"/>
    <xf numFmtId="0" fontId="28" fillId="3" borderId="1" xfId="0" applyFont="1" applyFill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/>
    <xf numFmtId="0" fontId="18" fillId="0" borderId="0" xfId="0" applyFont="1"/>
    <xf numFmtId="0" fontId="47" fillId="0" borderId="0" xfId="0" applyFont="1"/>
    <xf numFmtId="0" fontId="23" fillId="0" borderId="0" xfId="0" applyFont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4" xfId="0" applyFont="1" applyBorder="1"/>
    <xf numFmtId="0" fontId="18" fillId="0" borderId="4" xfId="0" applyFont="1" applyBorder="1"/>
    <xf numFmtId="0" fontId="0" fillId="6" borderId="4" xfId="0" applyFill="1" applyBorder="1"/>
    <xf numFmtId="0" fontId="23" fillId="0" borderId="4" xfId="0" applyFont="1" applyBorder="1" applyAlignment="1">
      <alignment horizontal="center" vertical="center"/>
    </xf>
    <xf numFmtId="2" fontId="28" fillId="3" borderId="2" xfId="0" applyNumberFormat="1" applyFont="1" applyFill="1" applyBorder="1"/>
    <xf numFmtId="0" fontId="0" fillId="0" borderId="0" xfId="0" applyBorder="1"/>
    <xf numFmtId="0" fontId="27" fillId="7" borderId="27" xfId="0" applyFont="1" applyFill="1" applyBorder="1" applyAlignment="1"/>
    <xf numFmtId="0" fontId="28" fillId="7" borderId="25" xfId="0" applyFont="1" applyFill="1" applyBorder="1"/>
    <xf numFmtId="1" fontId="28" fillId="7" borderId="25" xfId="0" applyNumberFormat="1" applyFont="1" applyFill="1" applyBorder="1"/>
    <xf numFmtId="0" fontId="28" fillId="7" borderId="26" xfId="0" applyFont="1" applyFill="1" applyBorder="1"/>
    <xf numFmtId="0" fontId="27" fillId="7" borderId="20" xfId="0" applyFont="1" applyFill="1" applyBorder="1" applyAlignment="1"/>
    <xf numFmtId="0" fontId="28" fillId="7" borderId="14" xfId="0" applyFont="1" applyFill="1" applyBorder="1"/>
    <xf numFmtId="1" fontId="28" fillId="7" borderId="14" xfId="0" applyNumberFormat="1" applyFont="1" applyFill="1" applyBorder="1"/>
    <xf numFmtId="0" fontId="28" fillId="7" borderId="28" xfId="0" applyFont="1" applyFill="1" applyBorder="1"/>
    <xf numFmtId="164" fontId="27" fillId="7" borderId="25" xfId="0" applyNumberFormat="1" applyFont="1" applyFill="1" applyBorder="1" applyAlignment="1"/>
    <xf numFmtId="0" fontId="27" fillId="7" borderId="26" xfId="0" applyFont="1" applyFill="1" applyBorder="1" applyAlignment="1"/>
    <xf numFmtId="0" fontId="0" fillId="0" borderId="4" xfId="0" applyFill="1" applyBorder="1"/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8" borderId="2" xfId="0" applyFont="1" applyFill="1" applyBorder="1"/>
    <xf numFmtId="0" fontId="25" fillId="8" borderId="3" xfId="0" applyFont="1" applyFill="1" applyBorder="1"/>
    <xf numFmtId="0" fontId="0" fillId="0" borderId="0" xfId="0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0" fontId="25" fillId="8" borderId="26" xfId="0" applyFont="1" applyFill="1" applyBorder="1"/>
    <xf numFmtId="0" fontId="25" fillId="8" borderId="20" xfId="0" applyFont="1" applyFill="1" applyBorder="1" applyAlignment="1">
      <alignment horizontal="center"/>
    </xf>
    <xf numFmtId="164" fontId="25" fillId="8" borderId="14" xfId="0" applyNumberFormat="1" applyFont="1" applyFill="1" applyBorder="1" applyAlignment="1">
      <alignment horizontal="center"/>
    </xf>
    <xf numFmtId="0" fontId="25" fillId="8" borderId="28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164" fontId="25" fillId="8" borderId="25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" fontId="0" fillId="2" borderId="4" xfId="0" applyNumberFormat="1" applyFill="1" applyBorder="1"/>
    <xf numFmtId="0" fontId="0" fillId="2" borderId="29" xfId="0" applyFill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Border="1"/>
    <xf numFmtId="0" fontId="17" fillId="0" borderId="0" xfId="0" applyFont="1" applyFill="1" applyBorder="1"/>
    <xf numFmtId="2" fontId="0" fillId="2" borderId="5" xfId="0" applyNumberFormat="1" applyFill="1" applyBorder="1"/>
    <xf numFmtId="0" fontId="0" fillId="0" borderId="0" xfId="0" applyAlignment="1">
      <alignment vertical="center"/>
    </xf>
    <xf numFmtId="0" fontId="0" fillId="0" borderId="32" xfId="0" applyBorder="1"/>
    <xf numFmtId="164" fontId="0" fillId="4" borderId="4" xfId="0" applyNumberFormat="1" applyFill="1" applyBorder="1"/>
    <xf numFmtId="164" fontId="0" fillId="4" borderId="4" xfId="0" applyNumberFormat="1" applyFill="1" applyBorder="1" applyAlignment="1">
      <alignment vertical="center"/>
    </xf>
    <xf numFmtId="0" fontId="16" fillId="0" borderId="0" xfId="0" applyFont="1"/>
    <xf numFmtId="0" fontId="16" fillId="0" borderId="5" xfId="0" applyFont="1" applyBorder="1" applyAlignment="1">
      <alignment horizontal="center"/>
    </xf>
    <xf numFmtId="0" fontId="21" fillId="0" borderId="0" xfId="0" applyFont="1" applyFill="1" applyBorder="1"/>
    <xf numFmtId="0" fontId="21" fillId="2" borderId="29" xfId="0" applyFont="1" applyFill="1" applyBorder="1" applyAlignment="1">
      <alignment horizontal="center"/>
    </xf>
    <xf numFmtId="0" fontId="16" fillId="0" borderId="29" xfId="0" applyFont="1" applyBorder="1"/>
    <xf numFmtId="0" fontId="21" fillId="0" borderId="33" xfId="0" applyFont="1" applyFill="1" applyBorder="1"/>
    <xf numFmtId="0" fontId="16" fillId="0" borderId="33" xfId="0" applyFont="1" applyFill="1" applyBorder="1"/>
    <xf numFmtId="0" fontId="31" fillId="0" borderId="34" xfId="0" applyFont="1" applyBorder="1"/>
    <xf numFmtId="0" fontId="25" fillId="0" borderId="33" xfId="0" applyFont="1" applyBorder="1"/>
    <xf numFmtId="0" fontId="25" fillId="0" borderId="35" xfId="0" applyFont="1" applyFill="1" applyBorder="1"/>
    <xf numFmtId="0" fontId="31" fillId="0" borderId="36" xfId="0" applyFont="1" applyBorder="1"/>
    <xf numFmtId="0" fontId="25" fillId="0" borderId="0" xfId="0" applyFont="1" applyBorder="1"/>
    <xf numFmtId="0" fontId="25" fillId="0" borderId="37" xfId="0" applyFont="1" applyBorder="1"/>
    <xf numFmtId="0" fontId="31" fillId="0" borderId="38" xfId="0" applyFont="1" applyBorder="1"/>
    <xf numFmtId="0" fontId="31" fillId="0" borderId="39" xfId="0" applyFont="1" applyBorder="1"/>
    <xf numFmtId="0" fontId="25" fillId="0" borderId="40" xfId="0" applyFont="1" applyBorder="1"/>
    <xf numFmtId="0" fontId="23" fillId="0" borderId="0" xfId="0" applyFont="1" applyFill="1" applyBorder="1"/>
    <xf numFmtId="0" fontId="38" fillId="0" borderId="0" xfId="0" applyFont="1" applyFill="1" applyBorder="1"/>
    <xf numFmtId="0" fontId="40" fillId="0" borderId="0" xfId="0" applyFont="1" applyFill="1" applyBorder="1"/>
    <xf numFmtId="0" fontId="28" fillId="0" borderId="0" xfId="0" applyFont="1" applyFill="1" applyBorder="1"/>
    <xf numFmtId="164" fontId="21" fillId="0" borderId="0" xfId="0" applyNumberFormat="1" applyFont="1" applyFill="1" applyBorder="1"/>
    <xf numFmtId="0" fontId="39" fillId="3" borderId="2" xfId="0" applyFont="1" applyFill="1" applyBorder="1"/>
    <xf numFmtId="165" fontId="25" fillId="0" borderId="33" xfId="0" applyNumberFormat="1" applyFont="1" applyBorder="1"/>
    <xf numFmtId="165" fontId="25" fillId="0" borderId="0" xfId="0" applyNumberFormat="1" applyFont="1" applyBorder="1"/>
    <xf numFmtId="165" fontId="31" fillId="0" borderId="39" xfId="0" applyNumberFormat="1" applyFont="1" applyBorder="1"/>
    <xf numFmtId="167" fontId="31" fillId="4" borderId="2" xfId="0" applyNumberFormat="1" applyFont="1" applyFill="1" applyBorder="1"/>
    <xf numFmtId="0" fontId="31" fillId="4" borderId="2" xfId="0" applyFont="1" applyFill="1" applyBorder="1"/>
    <xf numFmtId="10" fontId="31" fillId="4" borderId="3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3" fillId="4" borderId="41" xfId="0" applyFont="1" applyFill="1" applyBorder="1"/>
    <xf numFmtId="0" fontId="30" fillId="0" borderId="28" xfId="0" applyFont="1" applyBorder="1"/>
    <xf numFmtId="0" fontId="22" fillId="4" borderId="41" xfId="0" applyFont="1" applyFill="1" applyBorder="1"/>
    <xf numFmtId="0" fontId="23" fillId="0" borderId="28" xfId="0" applyFont="1" applyBorder="1"/>
    <xf numFmtId="164" fontId="23" fillId="4" borderId="21" xfId="0" applyNumberFormat="1" applyFont="1" applyFill="1" applyBorder="1"/>
    <xf numFmtId="0" fontId="23" fillId="4" borderId="44" xfId="0" applyFont="1" applyFill="1" applyBorder="1"/>
    <xf numFmtId="0" fontId="22" fillId="4" borderId="44" xfId="0" applyFont="1" applyFill="1" applyBorder="1"/>
    <xf numFmtId="0" fontId="23" fillId="0" borderId="0" xfId="0" applyFont="1" applyFill="1" applyBorder="1" applyAlignment="1"/>
    <xf numFmtId="0" fontId="15" fillId="0" borderId="0" xfId="0" applyFont="1"/>
    <xf numFmtId="0" fontId="15" fillId="0" borderId="16" xfId="0" applyFont="1" applyBorder="1"/>
    <xf numFmtId="0" fontId="23" fillId="0" borderId="5" xfId="0" applyFont="1" applyBorder="1" applyAlignment="1">
      <alignment horizontal="center"/>
    </xf>
    <xf numFmtId="2" fontId="0" fillId="0" borderId="32" xfId="0" applyNumberFormat="1" applyFill="1" applyBorder="1"/>
    <xf numFmtId="2" fontId="0" fillId="2" borderId="34" xfId="0" applyNumberFormat="1" applyFill="1" applyBorder="1"/>
    <xf numFmtId="0" fontId="23" fillId="0" borderId="0" xfId="0" applyFont="1" applyFill="1" applyBorder="1" applyAlignment="1">
      <alignment horizontal="center" vertical="center"/>
    </xf>
    <xf numFmtId="2" fontId="23" fillId="0" borderId="0" xfId="0" applyNumberFormat="1" applyFont="1"/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28" fillId="3" borderId="3" xfId="0" applyFont="1" applyFill="1" applyBorder="1" applyAlignment="1">
      <alignment vertical="center"/>
    </xf>
    <xf numFmtId="2" fontId="0" fillId="2" borderId="4" xfId="0" applyNumberForma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2" fontId="0" fillId="2" borderId="29" xfId="0" applyNumberForma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0" borderId="34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25" fillId="6" borderId="29" xfId="0" applyNumberFormat="1" applyFont="1" applyFill="1" applyBorder="1" applyAlignment="1">
      <alignment horizontal="right" vertical="center"/>
    </xf>
    <xf numFmtId="164" fontId="25" fillId="6" borderId="4" xfId="0" applyNumberFormat="1" applyFont="1" applyFill="1" applyBorder="1" applyAlignment="1">
      <alignment horizontal="right" vertical="center"/>
    </xf>
    <xf numFmtId="0" fontId="28" fillId="11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25" fillId="6" borderId="4" xfId="0" applyNumberFormat="1" applyFont="1" applyFill="1" applyBorder="1" applyAlignment="1">
      <alignment vertical="center"/>
    </xf>
    <xf numFmtId="164" fontId="25" fillId="6" borderId="4" xfId="0" applyNumberFormat="1" applyFont="1" applyFill="1" applyBorder="1" applyAlignment="1">
      <alignment vertical="center"/>
    </xf>
    <xf numFmtId="0" fontId="25" fillId="13" borderId="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2" borderId="5" xfId="0" applyNumberForma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1" fontId="0" fillId="3" borderId="13" xfId="0" applyNumberForma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2" fontId="25" fillId="6" borderId="4" xfId="0" applyNumberFormat="1" applyFont="1" applyFill="1" applyBorder="1" applyAlignment="1">
      <alignment vertical="center"/>
    </xf>
    <xf numFmtId="2" fontId="0" fillId="0" borderId="29" xfId="0" applyNumberFormat="1" applyFill="1" applyBorder="1" applyAlignment="1">
      <alignment vertical="center"/>
    </xf>
    <xf numFmtId="165" fontId="25" fillId="6" borderId="4" xfId="0" applyNumberFormat="1" applyFont="1" applyFill="1" applyBorder="1"/>
    <xf numFmtId="2" fontId="25" fillId="6" borderId="4" xfId="0" applyNumberFormat="1" applyFont="1" applyFill="1" applyBorder="1"/>
    <xf numFmtId="165" fontId="25" fillId="6" borderId="30" xfId="0" applyNumberFormat="1" applyFont="1" applyFill="1" applyBorder="1"/>
    <xf numFmtId="0" fontId="28" fillId="3" borderId="27" xfId="0" applyFont="1" applyFill="1" applyBorder="1" applyAlignment="1">
      <alignment horizontal="right" vertical="center"/>
    </xf>
    <xf numFmtId="2" fontId="5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4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left"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23" fillId="0" borderId="16" xfId="0" applyFont="1" applyBorder="1" applyAlignment="1">
      <alignment horizontal="right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6" fillId="11" borderId="46" xfId="0" applyFont="1" applyFill="1" applyBorder="1" applyAlignment="1">
      <alignment horizontal="center" vertical="center"/>
    </xf>
    <xf numFmtId="0" fontId="46" fillId="11" borderId="4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4" fontId="0" fillId="4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6" borderId="9" xfId="0" applyFont="1" applyFill="1" applyBorder="1" applyAlignment="1">
      <alignment vertical="center"/>
    </xf>
    <xf numFmtId="0" fontId="62" fillId="6" borderId="28" xfId="0" applyFont="1" applyFill="1" applyBorder="1" applyAlignment="1">
      <alignment horizontal="center" vertical="center"/>
    </xf>
    <xf numFmtId="0" fontId="46" fillId="6" borderId="23" xfId="0" applyFont="1" applyFill="1" applyBorder="1" applyAlignment="1">
      <alignment vertical="center"/>
    </xf>
    <xf numFmtId="0" fontId="62" fillId="6" borderId="47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0" xfId="0" applyFont="1"/>
    <xf numFmtId="0" fontId="46" fillId="0" borderId="0" xfId="0" applyFont="1"/>
    <xf numFmtId="0" fontId="46" fillId="13" borderId="16" xfId="0" applyFont="1" applyFill="1" applyBorder="1" applyAlignment="1">
      <alignment horizontal="center" vertical="center"/>
    </xf>
    <xf numFmtId="0" fontId="46" fillId="6" borderId="40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164" fontId="0" fillId="6" borderId="4" xfId="0" applyNumberFormat="1" applyFill="1" applyBorder="1" applyAlignment="1">
      <alignment horizontal="center" vertical="center"/>
    </xf>
    <xf numFmtId="0" fontId="71" fillId="4" borderId="0" xfId="0" applyFont="1" applyFill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66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7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46" fillId="6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39" fillId="0" borderId="45" xfId="0" applyFont="1" applyBorder="1"/>
    <xf numFmtId="0" fontId="31" fillId="0" borderId="0" xfId="0" applyFont="1" applyBorder="1" applyAlignment="1">
      <alignment horizontal="center"/>
    </xf>
    <xf numFmtId="0" fontId="13" fillId="0" borderId="0" xfId="0" applyFont="1"/>
    <xf numFmtId="1" fontId="39" fillId="0" borderId="0" xfId="0" applyNumberFormat="1" applyFont="1"/>
    <xf numFmtId="0" fontId="23" fillId="0" borderId="0" xfId="0" applyFont="1" applyBorder="1" applyAlignment="1">
      <alignment horizontal="left" vertical="center"/>
    </xf>
    <xf numFmtId="164" fontId="0" fillId="2" borderId="4" xfId="0" applyNumberFormat="1" applyFill="1" applyBorder="1" applyAlignment="1">
      <alignment vertical="center"/>
    </xf>
    <xf numFmtId="0" fontId="31" fillId="0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0" fillId="2" borderId="4" xfId="0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5" fillId="6" borderId="29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right" vertical="center"/>
    </xf>
    <xf numFmtId="2" fontId="25" fillId="6" borderId="4" xfId="0" applyNumberFormat="1" applyFont="1" applyFill="1" applyBorder="1" applyAlignment="1">
      <alignment horizontal="right" vertical="center"/>
    </xf>
    <xf numFmtId="0" fontId="25" fillId="4" borderId="4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6" borderId="29" xfId="0" applyNumberForma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0" fillId="2" borderId="13" xfId="0" applyFill="1" applyBorder="1" applyAlignment="1">
      <alignment vertical="center"/>
    </xf>
    <xf numFmtId="0" fontId="11" fillId="0" borderId="0" xfId="0" applyFont="1" applyFill="1"/>
    <xf numFmtId="0" fontId="21" fillId="0" borderId="0" xfId="0" applyFont="1" applyFill="1"/>
    <xf numFmtId="0" fontId="10" fillId="0" borderId="0" xfId="0" applyFont="1" applyFill="1"/>
    <xf numFmtId="166" fontId="0" fillId="0" borderId="0" xfId="0" applyNumberFormat="1"/>
    <xf numFmtId="2" fontId="11" fillId="0" borderId="0" xfId="0" applyNumberFormat="1" applyFont="1" applyFill="1"/>
    <xf numFmtId="0" fontId="9" fillId="0" borderId="0" xfId="0" applyFont="1" applyFill="1"/>
    <xf numFmtId="2" fontId="21" fillId="0" borderId="0" xfId="0" applyNumberFormat="1" applyFont="1"/>
    <xf numFmtId="2" fontId="23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5" xfId="0" applyBorder="1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9" fontId="0" fillId="0" borderId="0" xfId="0" applyNumberFormat="1"/>
    <xf numFmtId="170" fontId="0" fillId="2" borderId="4" xfId="0" applyNumberFormat="1" applyFill="1" applyBorder="1" applyAlignment="1">
      <alignment vertical="center"/>
    </xf>
    <xf numFmtId="2" fontId="0" fillId="0" borderId="0" xfId="0" applyNumberFormat="1"/>
    <xf numFmtId="0" fontId="7" fillId="0" borderId="0" xfId="0" applyFont="1"/>
    <xf numFmtId="0" fontId="0" fillId="0" borderId="25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77" fillId="0" borderId="0" xfId="0" applyFont="1" applyAlignment="1">
      <alignment horizontal="justify" vertical="center"/>
    </xf>
    <xf numFmtId="0" fontId="80" fillId="0" borderId="0" xfId="1" applyAlignment="1">
      <alignment horizontal="justify" vertical="center"/>
    </xf>
    <xf numFmtId="0" fontId="0" fillId="2" borderId="5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6" fontId="0" fillId="2" borderId="4" xfId="0" applyNumberForma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6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2" fontId="23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2" fontId="2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0" fontId="0" fillId="0" borderId="53" xfId="0" applyBorder="1" applyAlignment="1"/>
    <xf numFmtId="0" fontId="0" fillId="0" borderId="5" xfId="0" applyBorder="1" applyAlignment="1"/>
    <xf numFmtId="0" fontId="0" fillId="0" borderId="21" xfId="0" applyBorder="1" applyAlignment="1"/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0" fillId="2" borderId="4" xfId="0" applyNumberFormat="1" applyFill="1" applyBorder="1" applyAlignment="1">
      <alignment vertical="center"/>
    </xf>
    <xf numFmtId="0" fontId="30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83" fillId="0" borderId="0" xfId="0" applyFont="1"/>
    <xf numFmtId="0" fontId="83" fillId="0" borderId="16" xfId="0" applyFont="1" applyBorder="1"/>
    <xf numFmtId="0" fontId="83" fillId="0" borderId="35" xfId="0" applyFont="1" applyBorder="1"/>
    <xf numFmtId="0" fontId="83" fillId="0" borderId="33" xfId="0" applyFont="1" applyBorder="1" applyAlignment="1">
      <alignment horizontal="center"/>
    </xf>
    <xf numFmtId="0" fontId="83" fillId="0" borderId="35" xfId="0" applyFont="1" applyBorder="1" applyAlignment="1">
      <alignment horizontal="center"/>
    </xf>
    <xf numFmtId="0" fontId="83" fillId="0" borderId="33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center"/>
    </xf>
    <xf numFmtId="0" fontId="83" fillId="0" borderId="36" xfId="0" applyFont="1" applyBorder="1" applyAlignment="1">
      <alignment horizontal="left" vertical="center"/>
    </xf>
    <xf numFmtId="0" fontId="83" fillId="0" borderId="5" xfId="0" applyFont="1" applyBorder="1"/>
    <xf numFmtId="0" fontId="83" fillId="0" borderId="15" xfId="0" applyFont="1" applyBorder="1"/>
    <xf numFmtId="0" fontId="83" fillId="0" borderId="33" xfId="0" applyFont="1" applyBorder="1"/>
    <xf numFmtId="0" fontId="83" fillId="0" borderId="39" xfId="0" applyFont="1" applyBorder="1"/>
    <xf numFmtId="0" fontId="83" fillId="0" borderId="40" xfId="0" applyFont="1" applyBorder="1"/>
    <xf numFmtId="0" fontId="89" fillId="0" borderId="0" xfId="0" applyFont="1"/>
    <xf numFmtId="0" fontId="83" fillId="0" borderId="25" xfId="0" applyFont="1" applyBorder="1"/>
    <xf numFmtId="0" fontId="83" fillId="0" borderId="26" xfId="0" applyFont="1" applyBorder="1"/>
    <xf numFmtId="0" fontId="83" fillId="0" borderId="31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45" xfId="0" applyFont="1" applyBorder="1"/>
    <xf numFmtId="0" fontId="83" fillId="0" borderId="31" xfId="0" applyFont="1" applyBorder="1"/>
    <xf numFmtId="0" fontId="83" fillId="0" borderId="45" xfId="0" applyFont="1" applyBorder="1" applyAlignment="1">
      <alignment horizontal="left" vertical="center"/>
    </xf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170" fontId="0" fillId="0" borderId="33" xfId="0" applyNumberForma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" fontId="0" fillId="2" borderId="4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170" fontId="0" fillId="0" borderId="4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164" fontId="0" fillId="2" borderId="5" xfId="0" applyNumberForma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0" fontId="0" fillId="2" borderId="0" xfId="0" applyFill="1"/>
    <xf numFmtId="2" fontId="0" fillId="3" borderId="0" xfId="0" applyNumberFormat="1" applyFill="1"/>
    <xf numFmtId="0" fontId="0" fillId="3" borderId="0" xfId="0" applyFill="1"/>
    <xf numFmtId="166" fontId="0" fillId="3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0" fontId="50" fillId="0" borderId="0" xfId="0" applyFont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64" fontId="27" fillId="3" borderId="2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4" fontId="28" fillId="3" borderId="2" xfId="0" applyNumberFormat="1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7" fillId="2" borderId="27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54" fillId="0" borderId="50" xfId="0" applyFont="1" applyBorder="1" applyAlignment="1">
      <alignment horizontal="center" vertical="center"/>
    </xf>
    <xf numFmtId="0" fontId="31" fillId="0" borderId="25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1" fontId="27" fillId="3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3" fillId="11" borderId="5" xfId="0" applyFont="1" applyFill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6" fillId="10" borderId="1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5" xfId="0" applyFont="1" applyFill="1" applyBorder="1" applyAlignment="1">
      <alignment horizontal="center" vertical="center"/>
    </xf>
    <xf numFmtId="0" fontId="31" fillId="11" borderId="16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165" fontId="28" fillId="3" borderId="1" xfId="0" applyNumberFormat="1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6" fontId="28" fillId="3" borderId="25" xfId="0" applyNumberFormat="1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5" fillId="0" borderId="31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/>
    </xf>
    <xf numFmtId="0" fontId="46" fillId="14" borderId="5" xfId="0" applyFont="1" applyFill="1" applyBorder="1" applyAlignment="1">
      <alignment horizontal="center" vertical="center"/>
    </xf>
    <xf numFmtId="0" fontId="46" fillId="14" borderId="15" xfId="0" applyFont="1" applyFill="1" applyBorder="1" applyAlignment="1">
      <alignment horizontal="center" vertical="center"/>
    </xf>
    <xf numFmtId="0" fontId="46" fillId="14" borderId="16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/>
    </xf>
    <xf numFmtId="0" fontId="62" fillId="11" borderId="2" xfId="0" applyFont="1" applyFill="1" applyBorder="1" applyAlignment="1">
      <alignment horizontal="center" vertical="center"/>
    </xf>
    <xf numFmtId="0" fontId="62" fillId="11" borderId="28" xfId="0" applyFont="1" applyFill="1" applyBorder="1" applyAlignment="1">
      <alignment horizontal="center" vertical="center"/>
    </xf>
    <xf numFmtId="0" fontId="62" fillId="11" borderId="3" xfId="0" applyFont="1" applyFill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/>
    </xf>
    <xf numFmtId="0" fontId="65" fillId="0" borderId="3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49" fontId="27" fillId="11" borderId="1" xfId="0" applyNumberFormat="1" applyFont="1" applyFill="1" applyBorder="1" applyAlignment="1">
      <alignment horizontal="center" vertical="center"/>
    </xf>
    <xf numFmtId="49" fontId="27" fillId="11" borderId="2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/>
    </xf>
    <xf numFmtId="0" fontId="46" fillId="0" borderId="5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39" fillId="3" borderId="2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/>
    </xf>
    <xf numFmtId="0" fontId="23" fillId="0" borderId="2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7" fillId="7" borderId="25" xfId="0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/>
    </xf>
    <xf numFmtId="1" fontId="28" fillId="3" borderId="2" xfId="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26" fillId="9" borderId="3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27" fillId="11" borderId="5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horizontal="center" vertical="center"/>
    </xf>
    <xf numFmtId="166" fontId="46" fillId="6" borderId="2" xfId="0" applyNumberFormat="1" applyFont="1" applyFill="1" applyBorder="1" applyAlignment="1">
      <alignment horizontal="center" vertical="center"/>
    </xf>
    <xf numFmtId="166" fontId="46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46" fillId="13" borderId="1" xfId="0" applyFont="1" applyFill="1" applyBorder="1" applyAlignment="1">
      <alignment horizontal="center" vertical="center"/>
    </xf>
    <xf numFmtId="0" fontId="46" fillId="13" borderId="2" xfId="0" applyFont="1" applyFill="1" applyBorder="1" applyAlignment="1">
      <alignment horizontal="center" vertical="center"/>
    </xf>
    <xf numFmtId="0" fontId="46" fillId="13" borderId="3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13" borderId="27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2" fillId="11" borderId="20" xfId="0" applyFont="1" applyFill="1" applyBorder="1" applyAlignment="1">
      <alignment horizontal="center" vertical="center"/>
    </xf>
    <xf numFmtId="0" fontId="62" fillId="11" borderId="1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2" fillId="6" borderId="6" xfId="0" applyFont="1" applyFill="1" applyBorder="1" applyAlignment="1">
      <alignment horizontal="center" vertical="center"/>
    </xf>
    <xf numFmtId="0" fontId="62" fillId="6" borderId="8" xfId="0" applyFont="1" applyFill="1" applyBorder="1" applyAlignment="1">
      <alignment horizontal="center" vertical="center"/>
    </xf>
    <xf numFmtId="0" fontId="62" fillId="6" borderId="20" xfId="0" applyFont="1" applyFill="1" applyBorder="1" applyAlignment="1">
      <alignment horizontal="center" vertical="center"/>
    </xf>
    <xf numFmtId="0" fontId="62" fillId="6" borderId="43" xfId="0" applyFont="1" applyFill="1" applyBorder="1" applyAlignment="1">
      <alignment horizontal="center" vertical="center"/>
    </xf>
    <xf numFmtId="165" fontId="46" fillId="6" borderId="2" xfId="0" applyNumberFormat="1" applyFont="1" applyFill="1" applyBorder="1" applyAlignment="1">
      <alignment horizontal="center" vertical="center"/>
    </xf>
    <xf numFmtId="165" fontId="46" fillId="6" borderId="3" xfId="0" applyNumberFormat="1" applyFont="1" applyFill="1" applyBorder="1" applyAlignment="1">
      <alignment horizontal="center" vertical="center"/>
    </xf>
    <xf numFmtId="0" fontId="46" fillId="13" borderId="2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164" fontId="25" fillId="4" borderId="5" xfId="0" applyNumberFormat="1" applyFont="1" applyFill="1" applyBorder="1" applyAlignment="1">
      <alignment horizontal="center" vertical="center"/>
    </xf>
    <xf numFmtId="164" fontId="25" fillId="4" borderId="15" xfId="0" applyNumberFormat="1" applyFont="1" applyFill="1" applyBorder="1" applyAlignment="1">
      <alignment horizontal="center" vertical="center"/>
    </xf>
    <xf numFmtId="164" fontId="25" fillId="4" borderId="16" xfId="0" applyNumberFormat="1" applyFont="1" applyFill="1" applyBorder="1" applyAlignment="1">
      <alignment horizontal="center" vertical="center"/>
    </xf>
    <xf numFmtId="1" fontId="28" fillId="3" borderId="15" xfId="0" applyNumberFormat="1" applyFont="1" applyFill="1" applyBorder="1" applyAlignment="1">
      <alignment horizontal="center" vertical="center"/>
    </xf>
    <xf numFmtId="164" fontId="64" fillId="4" borderId="34" xfId="0" applyNumberFormat="1" applyFont="1" applyFill="1" applyBorder="1" applyAlignment="1">
      <alignment horizontal="center" vertical="center" wrapText="1"/>
    </xf>
    <xf numFmtId="164" fontId="64" fillId="4" borderId="33" xfId="0" applyNumberFormat="1" applyFont="1" applyFill="1" applyBorder="1" applyAlignment="1">
      <alignment horizontal="center" vertical="center" wrapText="1"/>
    </xf>
    <xf numFmtId="164" fontId="64" fillId="4" borderId="35" xfId="0" applyNumberFormat="1" applyFont="1" applyFill="1" applyBorder="1" applyAlignment="1">
      <alignment horizontal="center" vertical="center" wrapText="1"/>
    </xf>
    <xf numFmtId="164" fontId="64" fillId="4" borderId="38" xfId="0" applyNumberFormat="1" applyFont="1" applyFill="1" applyBorder="1" applyAlignment="1">
      <alignment horizontal="center" vertical="center" wrapText="1"/>
    </xf>
    <xf numFmtId="164" fontId="64" fillId="4" borderId="39" xfId="0" applyNumberFormat="1" applyFont="1" applyFill="1" applyBorder="1" applyAlignment="1">
      <alignment horizontal="center" vertical="center" wrapText="1"/>
    </xf>
    <xf numFmtId="164" fontId="64" fillId="4" borderId="40" xfId="0" applyNumberFormat="1" applyFont="1" applyFill="1" applyBorder="1" applyAlignment="1">
      <alignment horizontal="center" vertical="center" wrapText="1"/>
    </xf>
    <xf numFmtId="168" fontId="28" fillId="3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horizontal="center" vertical="center"/>
    </xf>
    <xf numFmtId="171" fontId="28" fillId="3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6" fillId="4" borderId="39" xfId="0" applyFont="1" applyFill="1" applyBorder="1" applyAlignment="1">
      <alignment horizontal="center" vertical="center"/>
    </xf>
    <xf numFmtId="171" fontId="46" fillId="4" borderId="15" xfId="0" applyNumberFormat="1" applyFont="1" applyFill="1" applyBorder="1" applyAlignment="1">
      <alignment horizontal="center" vertical="center"/>
    </xf>
    <xf numFmtId="171" fontId="46" fillId="4" borderId="16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34" xfId="0" applyFont="1" applyBorder="1" applyAlignment="1">
      <alignment horizontal="center"/>
    </xf>
    <xf numFmtId="0" fontId="83" fillId="0" borderId="33" xfId="0" applyFont="1" applyBorder="1" applyAlignment="1">
      <alignment horizontal="center"/>
    </xf>
    <xf numFmtId="0" fontId="86" fillId="0" borderId="20" xfId="0" applyFont="1" applyBorder="1" applyAlignment="1">
      <alignment horizontal="left" vertical="center"/>
    </xf>
    <xf numFmtId="0" fontId="86" fillId="0" borderId="14" xfId="0" applyFont="1" applyBorder="1" applyAlignment="1">
      <alignment horizontal="left" vertical="center"/>
    </xf>
    <xf numFmtId="0" fontId="86" fillId="0" borderId="28" xfId="0" applyFont="1" applyBorder="1" applyAlignment="1">
      <alignment horizontal="left" vertical="center"/>
    </xf>
    <xf numFmtId="0" fontId="87" fillId="0" borderId="27" xfId="0" applyFont="1" applyBorder="1" applyAlignment="1">
      <alignment horizontal="center"/>
    </xf>
    <xf numFmtId="0" fontId="87" fillId="0" borderId="25" xfId="0" applyFont="1" applyBorder="1" applyAlignment="1">
      <alignment horizontal="center"/>
    </xf>
    <xf numFmtId="0" fontId="87" fillId="0" borderId="26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35" xfId="0" applyFont="1" applyBorder="1" applyAlignment="1">
      <alignment horizontal="center"/>
    </xf>
    <xf numFmtId="0" fontId="85" fillId="0" borderId="54" xfId="0" applyFont="1" applyBorder="1" applyAlignment="1">
      <alignment horizontal="center"/>
    </xf>
    <xf numFmtId="0" fontId="85" fillId="0" borderId="15" xfId="0" applyFont="1" applyBorder="1" applyAlignment="1">
      <alignment horizontal="center"/>
    </xf>
    <xf numFmtId="0" fontId="85" fillId="0" borderId="16" xfId="0" applyFont="1" applyBorder="1" applyAlignment="1">
      <alignment horizontal="center"/>
    </xf>
    <xf numFmtId="0" fontId="83" fillId="0" borderId="15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83" fillId="0" borderId="27" xfId="0" applyFont="1" applyBorder="1" applyAlignment="1">
      <alignment horizontal="center"/>
    </xf>
    <xf numFmtId="0" fontId="83" fillId="0" borderId="25" xfId="0" applyFont="1" applyBorder="1" applyAlignment="1">
      <alignment horizontal="center"/>
    </xf>
    <xf numFmtId="0" fontId="83" fillId="0" borderId="5" xfId="0" applyFont="1" applyBorder="1" applyAlignment="1">
      <alignment horizontal="right" vertical="center"/>
    </xf>
    <xf numFmtId="0" fontId="83" fillId="0" borderId="15" xfId="0" applyFont="1" applyBorder="1" applyAlignment="1">
      <alignment horizontal="right" vertical="center"/>
    </xf>
    <xf numFmtId="0" fontId="83" fillId="0" borderId="0" xfId="0" applyFont="1" applyBorder="1" applyAlignment="1">
      <alignment horizontal="center"/>
    </xf>
    <xf numFmtId="0" fontId="83" fillId="0" borderId="15" xfId="0" applyFont="1" applyBorder="1" applyAlignment="1">
      <alignment horizontal="left" vertical="center"/>
    </xf>
    <xf numFmtId="0" fontId="83" fillId="0" borderId="16" xfId="0" applyFont="1" applyBorder="1" applyAlignment="1">
      <alignment horizontal="left" vertical="center"/>
    </xf>
    <xf numFmtId="0" fontId="83" fillId="0" borderId="33" xfId="0" applyFont="1" applyBorder="1" applyAlignment="1">
      <alignment horizontal="left" vertical="center"/>
    </xf>
    <xf numFmtId="0" fontId="83" fillId="0" borderId="35" xfId="0" applyFont="1" applyBorder="1" applyAlignment="1">
      <alignment horizontal="left" vertical="center"/>
    </xf>
    <xf numFmtId="0" fontId="83" fillId="0" borderId="5" xfId="0" applyFont="1" applyBorder="1" applyAlignment="1">
      <alignment horizontal="left" vertical="center"/>
    </xf>
    <xf numFmtId="0" fontId="83" fillId="0" borderId="41" xfId="0" applyFont="1" applyBorder="1" applyAlignment="1">
      <alignment horizontal="left" vertical="center"/>
    </xf>
    <xf numFmtId="0" fontId="83" fillId="0" borderId="39" xfId="0" applyFont="1" applyBorder="1" applyAlignment="1">
      <alignment horizontal="left" vertical="center"/>
    </xf>
    <xf numFmtId="0" fontId="83" fillId="0" borderId="40" xfId="0" applyFont="1" applyBorder="1" applyAlignment="1">
      <alignment horizontal="left" vertical="center"/>
    </xf>
    <xf numFmtId="0" fontId="88" fillId="0" borderId="1" xfId="0" applyFont="1" applyBorder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29</xdr:row>
      <xdr:rowOff>19050</xdr:rowOff>
    </xdr:from>
    <xdr:ext cx="4057650" cy="13812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914400" y="6105525"/>
              <a:ext cx="4057650" cy="13812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s-CZ" sz="1100" b="0" i="1">
                            <a:latin typeface="Cambria Math"/>
                          </a:rPr>
                          <m:t>𝑡</m:t>
                        </m:r>
                      </m:e>
                      <m:sub>
                        <m:r>
                          <a:rPr lang="cs-CZ" sz="1100" b="0" i="1">
                            <a:latin typeface="Cambria Math"/>
                          </a:rPr>
                          <m:t>𝑧𝑎𝑝</m:t>
                        </m:r>
                      </m:sub>
                    </m:sSub>
                    <m:r>
                      <a:rPr lang="cs-CZ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cs-CZ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cs-CZ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latin typeface="Cambria Math"/>
                                  </a:rPr>
                                  <m:t>+ </m:t>
                                </m:r>
                                <m:sSub>
                                  <m:sSub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latin typeface="Cambria Math"/>
                                  </a:rPr>
                                  <m:t>+(</m:t>
                                </m:r>
                                <m:sSub>
                                  <m:sSub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𝐼𝑆𝑂𝐿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latin typeface="Cambria Math"/>
                                  </a:rPr>
                                  <m:t> </m:t>
                                </m:r>
                                <m:r>
                                  <a:rPr lang="cs-CZ" sz="1100" b="0" i="1">
                                    <a:latin typeface="Cambria Math"/>
                                    <a:ea typeface="Cambria Math"/>
                                  </a:rPr>
                                  <m:t>∙ </m:t>
                                </m:r>
                                <m:f>
                                  <m:f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𝐻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𝐻𝐴</m:t>
                                        </m:r>
                                      </m:sub>
                                    </m:sSub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</a:rPr>
                                          <m:t>𝐻𝑆</m:t>
                                        </m:r>
                                      </m:sub>
                                    </m:sSub>
                                    <m:r>
                                      <a:rPr lang="cs-CZ" sz="1100" b="0" i="1">
                                        <a:latin typeface="Cambria Math"/>
                                      </a:rPr>
                                      <m:t>+ </m:t>
                                    </m:r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</a:rPr>
                                          <m:t>𝐸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cs-CZ" sz="1100" b="0" i="1">
                                    <a:latin typeface="Cambria Math"/>
                                    <a:ea typeface="Cambria Math"/>
                                  </a:rPr>
                                  <m:t>∙ </m:t>
                                </m:r>
                                <m:f>
                                  <m:f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𝐻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cs-CZ" sz="1100" b="0" i="1">
                                            <a:latin typeface="Cambria Math" panose="02040503050406030204" pitchFamily="18" charset="0"/>
                                            <a:ea typeface="Cambria Math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latin typeface="Cambria Math"/>
                                            <a:ea typeface="Cambria Math"/>
                                          </a:rPr>
                                          <m:t>𝐻𝐴</m:t>
                                        </m:r>
                                      </m:sub>
                                    </m:sSub>
                                  </m:den>
                                </m:f>
                              </m:den>
                            </m:f>
                          </m:e>
                        </m:d>
                        <m:r>
                          <a:rPr lang="cs-CZ" sz="1100" b="0" i="1">
                            <a:latin typeface="Cambria Math"/>
                            <a:ea typeface="Cambria Math"/>
                          </a:rPr>
                          <m:t>∙ </m:t>
                        </m:r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/>
                                <a:ea typeface="Cambria Math"/>
                              </a:rPr>
                              <m:t>𝑂𝐾</m:t>
                            </m:r>
                          </m:sub>
                        </m:sSub>
                        <m:r>
                          <a:rPr lang="cs-CZ" sz="1100" b="0" i="1">
                            <a:latin typeface="Cambria Math"/>
                            <a:ea typeface="Cambria Math"/>
                          </a:rPr>
                          <m:t>+ </m:t>
                        </m:r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cs-CZ" sz="11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  <m:sub>
                            <m:r>
                              <a:rPr lang="cs-CZ" sz="1100" b="0" i="1">
                                <a:latin typeface="Cambria Math"/>
                                <a:ea typeface="Cambria Math"/>
                              </a:rPr>
                              <m:t>𝐶𝐴𝐿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cs-CZ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 </m:t>
                                </m:r>
                                <m:sSub>
                                  <m:sSub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+(</m:t>
                                </m:r>
                                <m:sSub>
                                  <m:sSub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𝐼𝑆𝑂𝐿</m:t>
                                    </m:r>
                                  </m:sub>
                                </m:sSub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∙ </m:t>
                                </m:r>
                                <m:f>
                                  <m:f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𝐻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𝐻𝐴</m:t>
                                        </m:r>
                                      </m:sub>
                                    </m:sSub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𝐻𝑆</m:t>
                                        </m:r>
                                      </m:sub>
                                    </m:sSub>
                                    <m: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 </m:t>
                                    </m:r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𝑅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𝐸</m:t>
                                        </m:r>
                                      </m:sub>
                                    </m:sSub>
                                  </m:e>
                                </m:d>
                                <m:r>
                                  <a:rPr lang="cs-CZ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∙ </m:t>
                                </m:r>
                                <m:f>
                                  <m:fPr>
                                    <m:ctrlPr>
                                      <a:rPr lang="cs-CZ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𝐻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𝐷</m:t>
                                        </m:r>
                                      </m:e>
                                      <m:sub>
                                        <m:r>
                                          <a:rPr lang="cs-CZ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𝐻𝐴</m:t>
                                        </m:r>
                                      </m:sub>
                                    </m:sSub>
                                  </m:den>
                                </m:f>
                              </m:den>
                            </m:f>
                          </m:e>
                        </m:d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914400" y="6105525"/>
              <a:ext cx="4057650" cy="13812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b="0" i="0">
                  <a:latin typeface="Cambria Math"/>
                </a:rPr>
                <a:t>𝑡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𝑧𝑎𝑝=</a:t>
              </a:r>
              <a:r>
                <a:rPr lang="cs-CZ" sz="1100" b="0" i="0">
                  <a:latin typeface="Cambria Math" panose="02040503050406030204" pitchFamily="18" charset="0"/>
                </a:rPr>
                <a:t>(((</a:t>
              </a:r>
              <a:r>
                <a:rPr lang="cs-CZ" sz="1100" b="0" i="0">
                  <a:latin typeface="Cambria Math"/>
                </a:rPr>
                <a:t>𝑅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𝑖+ 𝑅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𝐾+(𝑅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𝐼𝑆𝑂𝐿  </a:t>
              </a:r>
              <a:r>
                <a:rPr lang="cs-CZ" sz="1100" b="0" i="0">
                  <a:latin typeface="Cambria Math"/>
                  <a:ea typeface="Cambria Math"/>
                </a:rPr>
                <a:t>∙ 𝐷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𝐻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cs-CZ" sz="1100" b="0" i="0">
                  <a:latin typeface="Cambria Math"/>
                  <a:ea typeface="Cambria Math"/>
                </a:rPr>
                <a:t>𝐷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𝐻𝐴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 )/((</a:t>
              </a:r>
              <a:r>
                <a:rPr lang="cs-CZ" sz="1100" b="0" i="0">
                  <a:latin typeface="Cambria Math"/>
                </a:rPr>
                <a:t>𝑅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𝐻𝑆+ 𝑅</a:t>
              </a:r>
              <a:r>
                <a:rPr lang="cs-CZ" sz="1100" b="0" i="0">
                  <a:latin typeface="Cambria Math" panose="02040503050406030204" pitchFamily="18" charset="0"/>
                </a:rPr>
                <a:t>_</a:t>
              </a:r>
              <a:r>
                <a:rPr lang="cs-CZ" sz="1100" b="0" i="0">
                  <a:latin typeface="Cambria Math"/>
                </a:rPr>
                <a:t>𝐸</a:t>
              </a:r>
              <a:r>
                <a:rPr lang="cs-CZ" sz="1100" b="0" i="0">
                  <a:latin typeface="Cambria Math" panose="02040503050406030204" pitchFamily="18" charset="0"/>
                </a:rPr>
                <a:t> )</a:t>
              </a:r>
              <a:r>
                <a:rPr lang="cs-CZ" sz="1100" b="0" i="0">
                  <a:latin typeface="Cambria Math"/>
                  <a:ea typeface="Cambria Math"/>
                </a:rPr>
                <a:t>∙ 𝐷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𝐻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cs-CZ" sz="1100" b="0" i="0">
                  <a:latin typeface="Cambria Math"/>
                  <a:ea typeface="Cambria Math"/>
                </a:rPr>
                <a:t>𝐷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𝐻𝐴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 ))</a:t>
              </a:r>
              <a:r>
                <a:rPr lang="cs-CZ" sz="1100" b="0" i="0">
                  <a:latin typeface="Cambria Math"/>
                  <a:ea typeface="Cambria Math"/>
                </a:rPr>
                <a:t>∙ 𝑡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𝑂𝐾+ 𝑡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cs-CZ" sz="1100" b="0" i="0">
                  <a:latin typeface="Cambria Math"/>
                  <a:ea typeface="Cambria Math"/>
                </a:rPr>
                <a:t>𝐶𝐴𝐿</a:t>
              </a:r>
              <a:r>
                <a:rPr lang="cs-CZ" sz="11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𝑖+ 𝑅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𝐾+(𝑅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𝐼𝑆𝑂𝐿  ∙ 𝐷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𝐷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𝐻𝐴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)/((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𝐻𝑆+ 𝑅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𝐸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∙ 𝐷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𝐷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𝐻𝐴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60</xdr:row>
      <xdr:rowOff>0</xdr:rowOff>
    </xdr:from>
    <xdr:to>
      <xdr:col>16</xdr:col>
      <xdr:colOff>381000</xdr:colOff>
      <xdr:row>62</xdr:row>
      <xdr:rowOff>123825</xdr:rowOff>
    </xdr:to>
    <xdr:pic>
      <xdr:nvPicPr>
        <xdr:cNvPr id="2" name="Obrázek 4" descr="http://vytapeni.tzb-info.cz/docu/clanky/0019/001963o1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5906750"/>
          <a:ext cx="3524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64</xdr:row>
      <xdr:rowOff>0</xdr:rowOff>
    </xdr:from>
    <xdr:to>
      <xdr:col>16</xdr:col>
      <xdr:colOff>381000</xdr:colOff>
      <xdr:row>66</xdr:row>
      <xdr:rowOff>123825</xdr:rowOff>
    </xdr:to>
    <xdr:pic>
      <xdr:nvPicPr>
        <xdr:cNvPr id="3" name="Obrázek 3" descr="http://vytapeni.tzb-info.cz/docu/clanky/0019/001963o14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078325"/>
          <a:ext cx="3524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vytapeni.tzb-info.cz/vytapime-plynem/1963-spalovaci-vlastnosti-zp-i" TargetMode="External"/><Relationship Id="rId2" Type="http://schemas.openxmlformats.org/officeDocument/2006/relationships/hyperlink" Target="http://vytapeni.tzb-info.cz/vytapime-plynem/1963-spalovaci-vlastnosti-zp-i" TargetMode="External"/><Relationship Id="rId1" Type="http://schemas.openxmlformats.org/officeDocument/2006/relationships/hyperlink" Target="http://vytapeni.tzb-info.cz/vytapime-plynem/1963-spalovaci-vlastnosti-zp-i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3" workbookViewId="0">
      <selection activeCell="B28" sqref="B28"/>
    </sheetView>
  </sheetViews>
  <sheetFormatPr defaultRowHeight="15" x14ac:dyDescent="0.25"/>
  <cols>
    <col min="1" max="1" width="26.28515625" customWidth="1"/>
    <col min="4" max="4" width="20.28515625" customWidth="1"/>
    <col min="5" max="5" width="18.28515625" customWidth="1"/>
  </cols>
  <sheetData>
    <row r="1" spans="1:3" x14ac:dyDescent="0.25">
      <c r="A1" s="6" t="s">
        <v>796</v>
      </c>
      <c r="B1" s="102"/>
    </row>
    <row r="2" spans="1:3" x14ac:dyDescent="0.25">
      <c r="A2" t="s">
        <v>797</v>
      </c>
      <c r="B2" s="434">
        <v>3.3</v>
      </c>
      <c r="C2" t="s">
        <v>3</v>
      </c>
    </row>
    <row r="3" spans="1:3" x14ac:dyDescent="0.25">
      <c r="A3" t="s">
        <v>798</v>
      </c>
      <c r="B3" s="434">
        <v>10</v>
      </c>
      <c r="C3" t="s">
        <v>799</v>
      </c>
    </row>
    <row r="4" spans="1:3" x14ac:dyDescent="0.25">
      <c r="A4" s="6" t="s">
        <v>800</v>
      </c>
    </row>
    <row r="5" spans="1:3" x14ac:dyDescent="0.25">
      <c r="A5" t="s">
        <v>801</v>
      </c>
      <c r="B5" s="435">
        <f>0.65-IF(B2&gt;2,(B2*TAN(RADIANS(10))),0)</f>
        <v>6.8120963662065659E-2</v>
      </c>
      <c r="C5" s="436" t="s">
        <v>3</v>
      </c>
    </row>
    <row r="6" spans="1:3" x14ac:dyDescent="0.25">
      <c r="A6" t="s">
        <v>802</v>
      </c>
      <c r="B6" s="435">
        <f>(B2*TAN(RADIANS(B3)))+B5</f>
        <v>0.65</v>
      </c>
      <c r="C6" s="436" t="s">
        <v>3</v>
      </c>
    </row>
    <row r="8" spans="1:3" x14ac:dyDescent="0.25">
      <c r="A8" s="6" t="s">
        <v>825</v>
      </c>
    </row>
    <row r="9" spans="1:3" x14ac:dyDescent="0.25">
      <c r="A9" t="s">
        <v>803</v>
      </c>
      <c r="B9" s="434">
        <v>210</v>
      </c>
      <c r="C9" t="s">
        <v>3</v>
      </c>
    </row>
    <row r="10" spans="1:3" x14ac:dyDescent="0.25">
      <c r="A10" t="s">
        <v>804</v>
      </c>
      <c r="B10" s="434">
        <v>176</v>
      </c>
      <c r="C10" t="s">
        <v>3</v>
      </c>
    </row>
    <row r="11" spans="1:3" x14ac:dyDescent="0.25">
      <c r="A11" t="s">
        <v>826</v>
      </c>
      <c r="B11" s="437">
        <f>90-DEGREES(ATAN(B9/B10))</f>
        <v>39.966213043799954</v>
      </c>
      <c r="C11" s="436" t="s">
        <v>799</v>
      </c>
    </row>
    <row r="13" spans="1:3" x14ac:dyDescent="0.25">
      <c r="A13" s="6" t="s">
        <v>805</v>
      </c>
    </row>
    <row r="14" spans="1:3" x14ac:dyDescent="0.25">
      <c r="A14" s="438" t="s">
        <v>806</v>
      </c>
      <c r="B14" s="434">
        <v>0.1</v>
      </c>
      <c r="C14" t="s">
        <v>3</v>
      </c>
    </row>
    <row r="15" spans="1:3" x14ac:dyDescent="0.25">
      <c r="A15" t="s">
        <v>807</v>
      </c>
      <c r="B15" s="434">
        <v>1.3</v>
      </c>
      <c r="C15" t="s">
        <v>3</v>
      </c>
    </row>
    <row r="16" spans="1:3" x14ac:dyDescent="0.25">
      <c r="A16" t="s">
        <v>808</v>
      </c>
      <c r="B16" s="435">
        <f>1+(TAN(RADIANS(10))*B14)</f>
        <v>1.0176326980708466</v>
      </c>
      <c r="C16" t="s">
        <v>3</v>
      </c>
    </row>
    <row r="18" spans="1:4" x14ac:dyDescent="0.25">
      <c r="A18" s="6" t="s">
        <v>809</v>
      </c>
    </row>
    <row r="19" spans="1:4" x14ac:dyDescent="0.25">
      <c r="A19" t="s">
        <v>806</v>
      </c>
      <c r="B19" s="434">
        <v>3.3</v>
      </c>
      <c r="C19" t="s">
        <v>3</v>
      </c>
      <c r="D19" t="str">
        <f>IF(B19=0,"",IF(B19&gt;15,"neuvažovat=konec","pokračovat na další podmínku"))</f>
        <v>pokračovat na další podmínku</v>
      </c>
    </row>
    <row r="20" spans="1:4" x14ac:dyDescent="0.25">
      <c r="A20" t="s">
        <v>810</v>
      </c>
      <c r="B20" s="434">
        <v>1.3</v>
      </c>
      <c r="C20" t="s">
        <v>3</v>
      </c>
      <c r="D20" t="str">
        <f>IF(B20=0,"",IF(B20&gt;B21,"pokračovat na další podmínku","neuvažovat=konec"))</f>
        <v>pokračovat na další podmínku</v>
      </c>
    </row>
    <row r="21" spans="1:4" x14ac:dyDescent="0.25">
      <c r="A21" s="439" t="s">
        <v>811</v>
      </c>
      <c r="B21" s="437">
        <f>TAN(RADIANS(10))*B19</f>
        <v>0.58187903633793436</v>
      </c>
      <c r="C21" t="s">
        <v>3</v>
      </c>
    </row>
    <row r="22" spans="1:4" x14ac:dyDescent="0.25">
      <c r="A22" t="s">
        <v>812</v>
      </c>
      <c r="B22" s="434">
        <v>5</v>
      </c>
      <c r="C22" t="s">
        <v>3</v>
      </c>
      <c r="D22" t="str">
        <f>IF(B22=0,"",IF(B22&gt;B23,"nutno připočíst 25 Pa","neuvažovat=konec"))</f>
        <v>nutno připočíst 25 Pa</v>
      </c>
    </row>
    <row r="23" spans="1:4" x14ac:dyDescent="0.25">
      <c r="A23" s="439" t="s">
        <v>813</v>
      </c>
      <c r="B23" s="437">
        <f>TAN(RADIANS(15))*2*B19</f>
        <v>1.7684646700454096</v>
      </c>
      <c r="C23" t="s">
        <v>3</v>
      </c>
    </row>
    <row r="26" spans="1:4" x14ac:dyDescent="0.25">
      <c r="A26" s="6" t="s">
        <v>814</v>
      </c>
    </row>
    <row r="27" spans="1:4" x14ac:dyDescent="0.25">
      <c r="A27" t="s">
        <v>815</v>
      </c>
      <c r="B27" s="434">
        <v>350</v>
      </c>
      <c r="C27" t="s">
        <v>816</v>
      </c>
    </row>
    <row r="28" spans="1:4" x14ac:dyDescent="0.25">
      <c r="A28" t="s">
        <v>798</v>
      </c>
      <c r="B28" s="434">
        <v>19</v>
      </c>
      <c r="C28" t="s">
        <v>799</v>
      </c>
    </row>
    <row r="29" spans="1:4" x14ac:dyDescent="0.25">
      <c r="A29" s="439" t="s">
        <v>817</v>
      </c>
      <c r="B29" s="435">
        <f>TAN(RADIANS(B28))*B27</f>
        <v>120.51466465138284</v>
      </c>
      <c r="C29" t="s">
        <v>816</v>
      </c>
    </row>
    <row r="30" spans="1:4" x14ac:dyDescent="0.25">
      <c r="A30" s="439" t="s">
        <v>818</v>
      </c>
      <c r="B30" s="435">
        <f>2*SQRT((POWER((B27/2),2))+(POWER((B29/2),2)))</f>
        <v>370.16723841533474</v>
      </c>
      <c r="C30" t="s">
        <v>816</v>
      </c>
    </row>
    <row r="32" spans="1:4" x14ac:dyDescent="0.25">
      <c r="A32" s="6" t="s">
        <v>819</v>
      </c>
    </row>
    <row r="33" spans="1:3" x14ac:dyDescent="0.25">
      <c r="A33" t="s">
        <v>308</v>
      </c>
      <c r="B33" s="434">
        <v>24</v>
      </c>
      <c r="C33" t="s">
        <v>113</v>
      </c>
    </row>
    <row r="34" spans="1:3" x14ac:dyDescent="0.25">
      <c r="A34" t="s">
        <v>820</v>
      </c>
      <c r="B34" s="436">
        <v>25</v>
      </c>
      <c r="C34" t="s">
        <v>799</v>
      </c>
    </row>
    <row r="35" spans="1:3" x14ac:dyDescent="0.25">
      <c r="A35" t="s">
        <v>821</v>
      </c>
      <c r="B35" s="436">
        <f>IF(B33&gt;18,0.4,0.3)</f>
        <v>0.4</v>
      </c>
      <c r="C35" t="s">
        <v>3</v>
      </c>
    </row>
    <row r="36" spans="1:3" x14ac:dyDescent="0.25">
      <c r="A36" t="s">
        <v>822</v>
      </c>
      <c r="B36" s="436">
        <f>IF(B33&gt;18,6,3)</f>
        <v>6</v>
      </c>
      <c r="C36" t="s">
        <v>3</v>
      </c>
    </row>
    <row r="37" spans="1:3" x14ac:dyDescent="0.25">
      <c r="A37" t="s">
        <v>823</v>
      </c>
      <c r="B37" s="436">
        <f>2*B35</f>
        <v>0.8</v>
      </c>
      <c r="C37" t="s">
        <v>3</v>
      </c>
    </row>
    <row r="38" spans="1:3" x14ac:dyDescent="0.25">
      <c r="A38" t="s">
        <v>824</v>
      </c>
      <c r="B38" s="435">
        <f>(TAN(RADIANS(B34))*B36)+B37</f>
        <v>3.5978459489299919</v>
      </c>
      <c r="C38" t="s">
        <v>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workbookViewId="0">
      <selection activeCell="A3" sqref="A3:I3"/>
    </sheetView>
  </sheetViews>
  <sheetFormatPr defaultRowHeight="15" x14ac:dyDescent="0.25"/>
  <cols>
    <col min="1" max="9" width="9.7109375" style="115" customWidth="1"/>
    <col min="10" max="11" width="9.42578125" customWidth="1"/>
    <col min="12" max="12" width="66" customWidth="1"/>
    <col min="13" max="19" width="9.42578125" customWidth="1"/>
  </cols>
  <sheetData>
    <row r="1" spans="1:9" ht="34.5" thickBot="1" x14ac:dyDescent="0.3">
      <c r="A1" s="573" t="s">
        <v>423</v>
      </c>
      <c r="B1" s="574"/>
      <c r="C1" s="574"/>
      <c r="D1" s="574"/>
      <c r="E1" s="574"/>
      <c r="F1" s="574"/>
      <c r="G1" s="574"/>
      <c r="H1" s="574"/>
      <c r="I1" s="575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s="66" customFormat="1" ht="20.25" customHeight="1" x14ac:dyDescent="0.35">
      <c r="A3" s="576" t="s">
        <v>425</v>
      </c>
      <c r="B3" s="577"/>
      <c r="C3" s="577"/>
      <c r="D3" s="577"/>
      <c r="E3" s="577"/>
      <c r="F3" s="577"/>
      <c r="G3" s="577"/>
      <c r="H3" s="577"/>
      <c r="I3" s="578"/>
    </row>
    <row r="4" spans="1:9" ht="15.75" thickBot="1" x14ac:dyDescent="0.3"/>
    <row r="5" spans="1:9" ht="31.5" thickBot="1" x14ac:dyDescent="0.3">
      <c r="A5" s="222" t="s">
        <v>0</v>
      </c>
      <c r="B5" s="588" t="s">
        <v>442</v>
      </c>
      <c r="C5" s="589"/>
      <c r="D5" s="589"/>
      <c r="E5" s="589"/>
      <c r="F5" s="589"/>
      <c r="G5" s="589"/>
      <c r="H5" s="590" t="s">
        <v>188</v>
      </c>
      <c r="I5" s="591"/>
    </row>
    <row r="6" spans="1:9" ht="15" customHeight="1" x14ac:dyDescent="0.25">
      <c r="A6" s="222"/>
      <c r="B6" s="260"/>
      <c r="C6" s="260"/>
      <c r="D6" s="260"/>
      <c r="E6" s="260"/>
      <c r="F6" s="260"/>
      <c r="G6" s="260"/>
      <c r="H6" s="250"/>
      <c r="I6" s="250"/>
    </row>
    <row r="7" spans="1:9" x14ac:dyDescent="0.25">
      <c r="D7" s="654" t="s">
        <v>440</v>
      </c>
      <c r="E7" s="655"/>
      <c r="F7" s="656"/>
      <c r="G7" s="654" t="s">
        <v>441</v>
      </c>
      <c r="H7" s="655"/>
      <c r="I7" s="656"/>
    </row>
    <row r="8" spans="1:9" ht="18" customHeight="1" x14ac:dyDescent="0.25">
      <c r="A8" s="533" t="s">
        <v>329</v>
      </c>
      <c r="B8" s="534"/>
      <c r="C8" s="534"/>
      <c r="D8" s="225" t="s">
        <v>443</v>
      </c>
      <c r="E8" s="226">
        <v>50</v>
      </c>
      <c r="F8" s="110" t="s">
        <v>188</v>
      </c>
      <c r="G8" s="225" t="s">
        <v>449</v>
      </c>
      <c r="H8" s="274">
        <f>E8*(1-H11/100)</f>
        <v>40</v>
      </c>
      <c r="I8" s="110" t="s">
        <v>188</v>
      </c>
    </row>
    <row r="9" spans="1:9" ht="18" customHeight="1" x14ac:dyDescent="0.25">
      <c r="A9" s="533" t="s">
        <v>331</v>
      </c>
      <c r="B9" s="534"/>
      <c r="C9" s="534"/>
      <c r="D9" s="225" t="s">
        <v>444</v>
      </c>
      <c r="E9" s="226">
        <v>5.6</v>
      </c>
      <c r="F9" s="110" t="s">
        <v>188</v>
      </c>
      <c r="G9" s="225" t="s">
        <v>450</v>
      </c>
      <c r="H9" s="274">
        <f>E9*(1-H11/100)</f>
        <v>4.4799999999999995</v>
      </c>
      <c r="I9" s="110" t="s">
        <v>188</v>
      </c>
    </row>
    <row r="10" spans="1:9" ht="18" customHeight="1" x14ac:dyDescent="0.25">
      <c r="A10" s="533" t="s">
        <v>338</v>
      </c>
      <c r="B10" s="534"/>
      <c r="C10" s="534"/>
      <c r="D10" s="237" t="s">
        <v>445</v>
      </c>
      <c r="E10" s="226">
        <v>44</v>
      </c>
      <c r="F10" s="110" t="s">
        <v>188</v>
      </c>
      <c r="G10" s="237" t="s">
        <v>451</v>
      </c>
      <c r="H10" s="274">
        <f>E10*(1-H11/100)</f>
        <v>35.200000000000003</v>
      </c>
      <c r="I10" s="110" t="s">
        <v>188</v>
      </c>
    </row>
    <row r="11" spans="1:9" ht="18" customHeight="1" x14ac:dyDescent="0.25">
      <c r="A11" s="533" t="s">
        <v>424</v>
      </c>
      <c r="B11" s="534"/>
      <c r="C11" s="534"/>
      <c r="D11" s="237" t="s">
        <v>446</v>
      </c>
      <c r="E11" s="226">
        <v>0</v>
      </c>
      <c r="F11" s="110" t="s">
        <v>188</v>
      </c>
      <c r="G11" s="237" t="s">
        <v>452</v>
      </c>
      <c r="H11" s="275">
        <v>20</v>
      </c>
      <c r="I11" s="110" t="s">
        <v>188</v>
      </c>
    </row>
    <row r="12" spans="1:9" ht="18" customHeight="1" x14ac:dyDescent="0.25">
      <c r="A12" s="533" t="s">
        <v>333</v>
      </c>
      <c r="B12" s="534"/>
      <c r="C12" s="534"/>
      <c r="D12" s="225" t="s">
        <v>447</v>
      </c>
      <c r="E12" s="226">
        <v>3.0000000000000001E-3</v>
      </c>
      <c r="F12" s="110" t="s">
        <v>188</v>
      </c>
      <c r="G12" s="225" t="s">
        <v>453</v>
      </c>
      <c r="H12" s="246">
        <f>E12*(1-H11/100)</f>
        <v>2.4000000000000002E-3</v>
      </c>
      <c r="I12" s="110" t="s">
        <v>188</v>
      </c>
    </row>
    <row r="13" spans="1:9" ht="18" customHeight="1" x14ac:dyDescent="0.25">
      <c r="A13" s="533" t="s">
        <v>335</v>
      </c>
      <c r="B13" s="534"/>
      <c r="C13" s="534"/>
      <c r="D13" s="225" t="s">
        <v>448</v>
      </c>
      <c r="E13" s="226">
        <v>0.3</v>
      </c>
      <c r="F13" s="110" t="s">
        <v>188</v>
      </c>
      <c r="G13" s="225" t="s">
        <v>454</v>
      </c>
      <c r="H13" s="246">
        <f>E13*(1-H11/100)</f>
        <v>0.24</v>
      </c>
      <c r="I13" s="110" t="s">
        <v>188</v>
      </c>
    </row>
    <row r="14" spans="1:9" ht="18" customHeight="1" x14ac:dyDescent="0.25">
      <c r="A14" s="244"/>
      <c r="B14" s="244"/>
      <c r="C14" s="244"/>
      <c r="D14" s="259"/>
      <c r="E14" s="244"/>
      <c r="F14" s="195"/>
      <c r="G14" s="257"/>
      <c r="H14" s="244"/>
      <c r="I14" s="258"/>
    </row>
    <row r="15" spans="1:9" ht="18" customHeight="1" x14ac:dyDescent="0.25">
      <c r="A15" s="533" t="s">
        <v>347</v>
      </c>
      <c r="B15" s="534"/>
      <c r="C15" s="534"/>
      <c r="D15" s="241" t="s">
        <v>404</v>
      </c>
      <c r="E15" s="226">
        <v>3</v>
      </c>
      <c r="F15" s="242" t="s">
        <v>223</v>
      </c>
      <c r="G15" s="240"/>
      <c r="H15" s="195"/>
      <c r="I15" s="195"/>
    </row>
    <row r="16" spans="1:9" ht="18" customHeight="1" x14ac:dyDescent="0.25">
      <c r="A16" s="533" t="s">
        <v>437</v>
      </c>
      <c r="B16" s="534"/>
      <c r="C16" s="534"/>
      <c r="D16" s="241" t="s">
        <v>438</v>
      </c>
      <c r="E16" s="226">
        <v>2</v>
      </c>
      <c r="F16" s="242" t="s">
        <v>439</v>
      </c>
      <c r="G16" s="240"/>
      <c r="H16" s="195"/>
      <c r="I16" s="195"/>
    </row>
    <row r="17" spans="1:9" x14ac:dyDescent="0.25">
      <c r="A17" s="195"/>
      <c r="B17" s="161"/>
      <c r="C17" s="244"/>
      <c r="D17" s="195"/>
      <c r="E17" s="195"/>
      <c r="F17" s="195"/>
      <c r="G17" s="195"/>
      <c r="H17" s="195"/>
      <c r="I17" s="195"/>
    </row>
    <row r="18" spans="1:9" s="66" customFormat="1" ht="20.25" customHeight="1" x14ac:dyDescent="0.35">
      <c r="A18" s="576" t="s">
        <v>426</v>
      </c>
      <c r="B18" s="577"/>
      <c r="C18" s="577"/>
      <c r="D18" s="577"/>
      <c r="E18" s="577"/>
      <c r="F18" s="577"/>
      <c r="G18" s="577"/>
      <c r="H18" s="577"/>
      <c r="I18" s="578"/>
    </row>
    <row r="19" spans="1:9" s="66" customFormat="1" ht="33.75" customHeight="1" x14ac:dyDescent="0.35">
      <c r="A19" s="664" t="s">
        <v>427</v>
      </c>
      <c r="B19" s="664"/>
      <c r="C19" s="664"/>
      <c r="D19" s="664"/>
      <c r="E19" s="664"/>
      <c r="F19" s="664"/>
      <c r="G19" s="664"/>
      <c r="H19" s="664"/>
      <c r="I19" s="664"/>
    </row>
    <row r="20" spans="1:9" ht="15.75" thickBot="1" x14ac:dyDescent="0.3"/>
    <row r="21" spans="1:9" ht="31.5" thickBot="1" x14ac:dyDescent="0.3">
      <c r="A21" s="657" t="s">
        <v>428</v>
      </c>
      <c r="B21" s="657"/>
      <c r="C21" s="657"/>
      <c r="D21" s="657"/>
      <c r="E21" s="658" t="s">
        <v>430</v>
      </c>
      <c r="F21" s="659"/>
      <c r="G21" s="659"/>
      <c r="H21" s="660"/>
      <c r="I21" s="251"/>
    </row>
    <row r="22" spans="1:9" ht="24.75" thickBot="1" x14ac:dyDescent="0.3">
      <c r="A22" s="661" t="s">
        <v>429</v>
      </c>
      <c r="B22" s="661"/>
      <c r="C22" s="583" t="s">
        <v>431</v>
      </c>
      <c r="D22" s="584"/>
      <c r="E22" s="584"/>
      <c r="F22" s="584"/>
      <c r="G22" s="584"/>
      <c r="H22" s="586"/>
      <c r="I22" s="256"/>
    </row>
    <row r="23" spans="1:9" ht="24.75" thickBot="1" x14ac:dyDescent="0.3">
      <c r="A23" s="254"/>
      <c r="B23" s="255"/>
      <c r="C23" s="662" t="s">
        <v>432</v>
      </c>
      <c r="D23" s="663"/>
      <c r="E23" s="663"/>
      <c r="F23" s="663"/>
      <c r="G23" s="663"/>
      <c r="H23" s="585"/>
      <c r="I23" s="256"/>
    </row>
    <row r="24" spans="1:9" ht="18" customHeight="1" thickBot="1" x14ac:dyDescent="0.3">
      <c r="A24" s="254"/>
      <c r="B24" s="245"/>
      <c r="C24" s="245"/>
      <c r="D24" s="245"/>
      <c r="E24" s="245"/>
      <c r="F24" s="245"/>
      <c r="G24" s="245"/>
      <c r="H24" s="245"/>
    </row>
    <row r="25" spans="1:9" ht="24.75" customHeight="1" x14ac:dyDescent="0.25">
      <c r="A25" s="541" t="s">
        <v>455</v>
      </c>
      <c r="B25" s="541"/>
      <c r="C25" s="541"/>
      <c r="D25" s="541"/>
      <c r="E25" s="541"/>
      <c r="F25" s="667" t="s">
        <v>456</v>
      </c>
      <c r="G25" s="668"/>
      <c r="H25" s="262">
        <v>2.67</v>
      </c>
      <c r="I25" s="265" t="s">
        <v>457</v>
      </c>
    </row>
    <row r="26" spans="1:9" ht="24.75" customHeight="1" thickBot="1" x14ac:dyDescent="0.3">
      <c r="A26" s="665" t="s">
        <v>465</v>
      </c>
      <c r="B26" s="665"/>
      <c r="C26" s="665"/>
      <c r="D26" s="665"/>
      <c r="E26" s="665"/>
      <c r="F26" s="669" t="s">
        <v>458</v>
      </c>
      <c r="G26" s="670"/>
      <c r="H26" s="264">
        <v>3.67</v>
      </c>
      <c r="I26" s="263" t="s">
        <v>459</v>
      </c>
    </row>
    <row r="27" spans="1:9" ht="18" customHeight="1" thickBot="1" x14ac:dyDescent="0.3">
      <c r="A27" s="253"/>
      <c r="B27" s="245"/>
      <c r="C27" s="245"/>
      <c r="D27" s="245"/>
      <c r="E27" s="245"/>
      <c r="F27" s="245"/>
      <c r="G27" s="245"/>
      <c r="H27" s="245"/>
    </row>
    <row r="28" spans="1:9" ht="31.5" customHeight="1" thickBot="1" x14ac:dyDescent="0.3">
      <c r="A28" s="657" t="s">
        <v>433</v>
      </c>
      <c r="B28" s="657"/>
      <c r="C28" s="657"/>
      <c r="D28" s="657"/>
      <c r="E28" s="658" t="s">
        <v>434</v>
      </c>
      <c r="F28" s="659"/>
      <c r="G28" s="659"/>
      <c r="H28" s="660"/>
      <c r="I28" s="251"/>
    </row>
    <row r="29" spans="1:9" ht="24.75" customHeight="1" thickBot="1" x14ac:dyDescent="0.3">
      <c r="A29" s="661" t="s">
        <v>429</v>
      </c>
      <c r="B29" s="661"/>
      <c r="C29" s="583" t="s">
        <v>435</v>
      </c>
      <c r="D29" s="584"/>
      <c r="E29" s="584"/>
      <c r="F29" s="584"/>
      <c r="G29" s="584"/>
      <c r="H29" s="586"/>
      <c r="I29" s="256"/>
    </row>
    <row r="30" spans="1:9" ht="24.75" customHeight="1" thickBot="1" x14ac:dyDescent="0.3">
      <c r="A30" s="254"/>
      <c r="B30" s="255"/>
      <c r="C30" s="583" t="s">
        <v>436</v>
      </c>
      <c r="D30" s="584"/>
      <c r="E30" s="584"/>
      <c r="F30" s="584"/>
      <c r="G30" s="584"/>
      <c r="H30" s="586"/>
      <c r="I30" s="256"/>
    </row>
    <row r="31" spans="1:9" ht="18" customHeight="1" thickBot="1" x14ac:dyDescent="0.3">
      <c r="A31" s="254"/>
      <c r="B31" s="245"/>
      <c r="C31" s="245"/>
      <c r="D31" s="245"/>
      <c r="E31" s="245"/>
      <c r="F31" s="245"/>
      <c r="G31" s="245"/>
      <c r="H31" s="245"/>
    </row>
    <row r="32" spans="1:9" ht="24.75" customHeight="1" x14ac:dyDescent="0.25">
      <c r="A32" s="541" t="s">
        <v>460</v>
      </c>
      <c r="B32" s="541"/>
      <c r="C32" s="541"/>
      <c r="D32" s="541"/>
      <c r="E32" s="541"/>
      <c r="F32" s="667" t="s">
        <v>461</v>
      </c>
      <c r="G32" s="668"/>
      <c r="H32" s="262">
        <v>8</v>
      </c>
      <c r="I32" s="265" t="s">
        <v>457</v>
      </c>
    </row>
    <row r="33" spans="1:9" ht="24.75" customHeight="1" thickBot="1" x14ac:dyDescent="0.3">
      <c r="A33" s="666" t="s">
        <v>464</v>
      </c>
      <c r="B33" s="666"/>
      <c r="C33" s="666"/>
      <c r="D33" s="666"/>
      <c r="E33" s="666"/>
      <c r="F33" s="669" t="s">
        <v>462</v>
      </c>
      <c r="G33" s="670"/>
      <c r="H33" s="264">
        <v>9</v>
      </c>
      <c r="I33" s="263" t="s">
        <v>463</v>
      </c>
    </row>
    <row r="34" spans="1:9" ht="18" customHeight="1" x14ac:dyDescent="0.25"/>
    <row r="35" spans="1:9" ht="18" customHeight="1" x14ac:dyDescent="0.25"/>
    <row r="36" spans="1:9" ht="20.25" customHeight="1" x14ac:dyDescent="0.25">
      <c r="A36" s="576" t="s">
        <v>466</v>
      </c>
      <c r="B36" s="577"/>
      <c r="C36" s="577"/>
      <c r="D36" s="577"/>
      <c r="E36" s="577"/>
      <c r="F36" s="577"/>
      <c r="G36" s="577"/>
      <c r="H36" s="577"/>
      <c r="I36" s="578"/>
    </row>
    <row r="37" spans="1:9" ht="18" customHeight="1" x14ac:dyDescent="0.25"/>
    <row r="38" spans="1:9" s="267" customFormat="1" ht="24" customHeight="1" thickBot="1" x14ac:dyDescent="0.4">
      <c r="A38" s="266" t="s">
        <v>471</v>
      </c>
      <c r="B38" s="266"/>
      <c r="C38" s="266"/>
      <c r="D38" s="266"/>
      <c r="E38" s="266"/>
      <c r="F38" s="266"/>
      <c r="G38" s="266"/>
      <c r="H38" s="266"/>
      <c r="I38" s="266"/>
    </row>
    <row r="39" spans="1:9" s="268" customFormat="1" ht="24.75" customHeight="1" thickBot="1" x14ac:dyDescent="0.4">
      <c r="A39" s="261"/>
      <c r="B39" s="651" t="s">
        <v>467</v>
      </c>
      <c r="C39" s="652"/>
      <c r="D39" s="652"/>
      <c r="E39" s="652"/>
      <c r="F39" s="652"/>
      <c r="G39" s="652"/>
      <c r="H39" s="653"/>
      <c r="I39" s="269" t="s">
        <v>468</v>
      </c>
    </row>
    <row r="40" spans="1:9" s="268" customFormat="1" ht="24.75" customHeight="1" thickBot="1" x14ac:dyDescent="0.4">
      <c r="A40" s="261"/>
      <c r="D40" s="644" t="s">
        <v>469</v>
      </c>
      <c r="E40" s="645"/>
      <c r="F40" s="646">
        <f>(E8/100*H25)+(E9/100*H32)-(E10/100)</f>
        <v>1.343</v>
      </c>
      <c r="G40" s="647"/>
      <c r="H40" s="270" t="s">
        <v>468</v>
      </c>
    </row>
    <row r="41" spans="1:9" ht="18" customHeight="1" x14ac:dyDescent="0.25"/>
    <row r="42" spans="1:9" ht="24.75" customHeight="1" thickBot="1" x14ac:dyDescent="0.3">
      <c r="A42" s="266" t="s">
        <v>472</v>
      </c>
      <c r="B42" s="266"/>
      <c r="C42" s="266"/>
      <c r="D42" s="266"/>
      <c r="E42" s="266"/>
      <c r="F42" s="266"/>
      <c r="G42" s="266"/>
    </row>
    <row r="43" spans="1:9" s="268" customFormat="1" ht="24.75" customHeight="1" thickBot="1" x14ac:dyDescent="0.4">
      <c r="A43" s="261"/>
      <c r="B43" s="651" t="s">
        <v>470</v>
      </c>
      <c r="C43" s="652"/>
      <c r="D43" s="652"/>
      <c r="E43" s="652"/>
      <c r="F43" s="652"/>
      <c r="G43" s="652"/>
      <c r="H43" s="653"/>
      <c r="I43" s="269" t="s">
        <v>468</v>
      </c>
    </row>
    <row r="44" spans="1:9" s="268" customFormat="1" ht="24.75" customHeight="1" thickBot="1" x14ac:dyDescent="0.4">
      <c r="A44" s="261"/>
      <c r="D44" s="644" t="s">
        <v>469</v>
      </c>
      <c r="E44" s="645"/>
      <c r="F44" s="646">
        <f>(H8/100*H25)+(H9/100*H32)-(H10/100)</f>
        <v>1.0744</v>
      </c>
      <c r="G44" s="647"/>
      <c r="H44" s="270" t="s">
        <v>468</v>
      </c>
    </row>
    <row r="45" spans="1:9" ht="18" customHeight="1" x14ac:dyDescent="0.25"/>
    <row r="46" spans="1:9" ht="18" customHeight="1" x14ac:dyDescent="0.25">
      <c r="A46" s="576" t="s">
        <v>473</v>
      </c>
      <c r="B46" s="577"/>
      <c r="C46" s="577"/>
      <c r="D46" s="577"/>
      <c r="E46" s="577"/>
      <c r="F46" s="577"/>
      <c r="G46" s="577"/>
      <c r="H46" s="577"/>
      <c r="I46" s="578"/>
    </row>
    <row r="47" spans="1:9" ht="18" customHeight="1" thickBot="1" x14ac:dyDescent="0.3"/>
    <row r="48" spans="1:9" s="268" customFormat="1" ht="24.75" customHeight="1" thickBot="1" x14ac:dyDescent="0.4">
      <c r="A48" s="261"/>
      <c r="B48" s="651" t="s">
        <v>474</v>
      </c>
      <c r="C48" s="652"/>
      <c r="D48" s="652"/>
      <c r="E48" s="653"/>
      <c r="F48" s="269" t="s">
        <v>468</v>
      </c>
      <c r="G48" s="261"/>
      <c r="H48" s="261"/>
      <c r="I48" s="261"/>
    </row>
    <row r="49" spans="1:12" s="268" customFormat="1" ht="18" customHeight="1" x14ac:dyDescent="0.35">
      <c r="A49" s="261"/>
      <c r="B49" s="222"/>
      <c r="C49" s="222"/>
      <c r="D49" s="222"/>
      <c r="E49" s="222"/>
      <c r="F49" s="222"/>
      <c r="G49" s="261"/>
      <c r="H49" s="261"/>
      <c r="I49" s="261"/>
    </row>
    <row r="50" spans="1:12" ht="18" customHeight="1" x14ac:dyDescent="0.25">
      <c r="A50" s="533" t="s">
        <v>475</v>
      </c>
      <c r="B50" s="534"/>
      <c r="C50" s="534"/>
      <c r="D50" s="568"/>
      <c r="E50" s="241" t="s">
        <v>476</v>
      </c>
      <c r="F50" s="272">
        <f>(C54/100*C55)/((C54/100*C55)+(C56/100*C57))</f>
        <v>0.23318838328933059</v>
      </c>
      <c r="G50" s="242" t="s">
        <v>439</v>
      </c>
    </row>
    <row r="51" spans="1:12" ht="15" customHeight="1" x14ac:dyDescent="0.25"/>
    <row r="52" spans="1:12" s="268" customFormat="1" ht="24.75" customHeight="1" x14ac:dyDescent="0.35">
      <c r="A52" s="261"/>
      <c r="B52" s="261" t="s">
        <v>485</v>
      </c>
      <c r="C52" s="261"/>
      <c r="D52" s="261"/>
      <c r="E52" s="261"/>
      <c r="F52" s="261"/>
      <c r="G52" s="261"/>
      <c r="H52" s="261"/>
      <c r="I52" s="261" t="s">
        <v>439</v>
      </c>
    </row>
    <row r="53" spans="1:12" s="268" customFormat="1" ht="15" customHeight="1" x14ac:dyDescent="0.35">
      <c r="A53" s="261"/>
      <c r="B53" s="261"/>
      <c r="C53" s="261"/>
      <c r="D53" s="261"/>
      <c r="E53" s="261"/>
      <c r="F53" s="261"/>
      <c r="G53" s="261"/>
      <c r="H53" s="261"/>
      <c r="I53" s="261"/>
    </row>
    <row r="54" spans="1:12" ht="18" customHeight="1" x14ac:dyDescent="0.25">
      <c r="B54" s="110" t="s">
        <v>479</v>
      </c>
      <c r="C54" s="109">
        <v>21</v>
      </c>
      <c r="D54" s="110" t="s">
        <v>188</v>
      </c>
      <c r="E54" s="648" t="s">
        <v>477</v>
      </c>
      <c r="F54" s="648"/>
      <c r="G54" s="648"/>
      <c r="H54" s="648"/>
    </row>
    <row r="55" spans="1:12" ht="18" customHeight="1" x14ac:dyDescent="0.25">
      <c r="B55" s="271" t="s">
        <v>480</v>
      </c>
      <c r="C55" s="109">
        <v>1.43</v>
      </c>
      <c r="D55" s="110" t="s">
        <v>4</v>
      </c>
      <c r="E55" s="648" t="s">
        <v>478</v>
      </c>
      <c r="F55" s="648"/>
      <c r="G55" s="648"/>
      <c r="H55" s="648"/>
    </row>
    <row r="56" spans="1:12" ht="18" customHeight="1" x14ac:dyDescent="0.25">
      <c r="B56" s="110" t="s">
        <v>481</v>
      </c>
      <c r="C56" s="109">
        <v>79</v>
      </c>
      <c r="D56" s="110" t="s">
        <v>188</v>
      </c>
      <c r="E56" s="648" t="s">
        <v>483</v>
      </c>
      <c r="F56" s="648"/>
      <c r="G56" s="648"/>
      <c r="H56" s="648"/>
    </row>
    <row r="57" spans="1:12" ht="18" customHeight="1" x14ac:dyDescent="0.25">
      <c r="B57" s="271" t="s">
        <v>482</v>
      </c>
      <c r="C57" s="109">
        <v>1.25</v>
      </c>
      <c r="D57" s="110" t="s">
        <v>4</v>
      </c>
      <c r="E57" s="648" t="s">
        <v>484</v>
      </c>
      <c r="F57" s="648"/>
      <c r="G57" s="648"/>
      <c r="H57" s="648"/>
    </row>
    <row r="58" spans="1:12" ht="18" customHeight="1" x14ac:dyDescent="0.25"/>
    <row r="59" spans="1:12" s="267" customFormat="1" ht="24" customHeight="1" thickBot="1" x14ac:dyDescent="0.4">
      <c r="A59" s="266" t="s">
        <v>471</v>
      </c>
      <c r="B59" s="266"/>
      <c r="C59" s="266"/>
      <c r="D59" s="266"/>
      <c r="E59" s="266"/>
      <c r="F59" s="266"/>
      <c r="G59" s="266"/>
      <c r="H59" s="266"/>
      <c r="I59" s="266"/>
      <c r="L59" s="340" t="s">
        <v>656</v>
      </c>
    </row>
    <row r="60" spans="1:12" s="268" customFormat="1" ht="24.75" customHeight="1" thickBot="1" x14ac:dyDescent="0.4">
      <c r="A60" s="261"/>
      <c r="B60" s="651" t="s">
        <v>488</v>
      </c>
      <c r="C60" s="652"/>
      <c r="D60" s="652"/>
      <c r="E60" s="652"/>
      <c r="F60" s="652"/>
      <c r="G60" s="652"/>
      <c r="H60" s="653"/>
      <c r="I60" s="269" t="s">
        <v>468</v>
      </c>
      <c r="L60" s="340"/>
    </row>
    <row r="61" spans="1:12" s="268" customFormat="1" ht="24.75" customHeight="1" thickBot="1" x14ac:dyDescent="0.4">
      <c r="A61" s="261"/>
      <c r="D61" s="644" t="s">
        <v>489</v>
      </c>
      <c r="E61" s="645"/>
      <c r="F61" s="646">
        <f>F40/F50</f>
        <v>5.759292041292043</v>
      </c>
      <c r="G61" s="647"/>
      <c r="H61" s="270" t="s">
        <v>468</v>
      </c>
      <c r="L61" s="339"/>
    </row>
    <row r="62" spans="1:12" ht="18" customHeight="1" x14ac:dyDescent="0.25">
      <c r="L62" s="341" t="s">
        <v>657</v>
      </c>
    </row>
    <row r="63" spans="1:12" ht="24.75" customHeight="1" thickBot="1" x14ac:dyDescent="0.3">
      <c r="A63" s="266" t="s">
        <v>472</v>
      </c>
      <c r="B63" s="266"/>
      <c r="C63" s="266"/>
      <c r="D63" s="266"/>
      <c r="E63" s="266"/>
      <c r="F63" s="266"/>
      <c r="G63" s="266"/>
      <c r="L63" s="340" t="s">
        <v>658</v>
      </c>
    </row>
    <row r="64" spans="1:12" s="268" customFormat="1" ht="24.75" customHeight="1" thickBot="1" x14ac:dyDescent="0.4">
      <c r="A64" s="261"/>
      <c r="B64" s="651" t="s">
        <v>490</v>
      </c>
      <c r="C64" s="652"/>
      <c r="D64" s="652"/>
      <c r="E64" s="652"/>
      <c r="F64" s="652"/>
      <c r="G64" s="652"/>
      <c r="H64" s="653"/>
      <c r="I64" s="269" t="s">
        <v>468</v>
      </c>
      <c r="L64" s="340"/>
    </row>
    <row r="65" spans="1:13" s="268" customFormat="1" ht="24.75" customHeight="1" thickBot="1" x14ac:dyDescent="0.4">
      <c r="A65" s="261"/>
      <c r="D65" s="644" t="s">
        <v>491</v>
      </c>
      <c r="E65" s="645"/>
      <c r="F65" s="646">
        <f>F44/F50</f>
        <v>4.6074336330336338</v>
      </c>
      <c r="G65" s="647"/>
      <c r="H65" s="270" t="s">
        <v>468</v>
      </c>
      <c r="L65"/>
    </row>
    <row r="66" spans="1:13" s="268" customFormat="1" ht="18" customHeight="1" thickBot="1" x14ac:dyDescent="0.4">
      <c r="A66" s="115"/>
      <c r="B66" s="271" t="s">
        <v>496</v>
      </c>
      <c r="C66" s="109">
        <v>1.25</v>
      </c>
      <c r="D66" s="110" t="s">
        <v>4</v>
      </c>
      <c r="E66" s="648" t="s">
        <v>6</v>
      </c>
      <c r="F66" s="648"/>
      <c r="G66" s="648"/>
      <c r="H66" s="648"/>
      <c r="I66" s="115"/>
      <c r="J66"/>
      <c r="K66"/>
      <c r="L66" s="341" t="s">
        <v>659</v>
      </c>
      <c r="M66"/>
    </row>
    <row r="67" spans="1:13" s="268" customFormat="1" ht="24.75" customHeight="1" thickBot="1" x14ac:dyDescent="0.4">
      <c r="A67" s="261"/>
      <c r="D67" s="644" t="s">
        <v>653</v>
      </c>
      <c r="E67" s="645"/>
      <c r="F67" s="646">
        <f>F65/C66</f>
        <v>3.6859469064269073</v>
      </c>
      <c r="G67" s="647"/>
      <c r="H67" s="270" t="s">
        <v>416</v>
      </c>
      <c r="L67" s="341" t="s">
        <v>660</v>
      </c>
    </row>
    <row r="68" spans="1:13" ht="18" customHeight="1" x14ac:dyDescent="0.25"/>
    <row r="69" spans="1:13" s="267" customFormat="1" ht="24" customHeight="1" thickBot="1" x14ac:dyDescent="0.4">
      <c r="A69" s="266" t="s">
        <v>492</v>
      </c>
      <c r="B69" s="266"/>
      <c r="C69" s="266"/>
      <c r="D69" s="266"/>
      <c r="E69" s="266"/>
      <c r="F69" s="266"/>
      <c r="G69" s="266"/>
      <c r="H69" s="273">
        <f>E16</f>
        <v>2</v>
      </c>
      <c r="I69" s="266"/>
    </row>
    <row r="70" spans="1:13" s="268" customFormat="1" ht="24.75" customHeight="1" thickBot="1" x14ac:dyDescent="0.4">
      <c r="A70" s="261"/>
      <c r="B70" s="651" t="s">
        <v>493</v>
      </c>
      <c r="C70" s="652"/>
      <c r="D70" s="652"/>
      <c r="E70" s="652"/>
      <c r="F70" s="652"/>
      <c r="G70" s="652"/>
      <c r="H70" s="653"/>
      <c r="I70" s="269" t="s">
        <v>468</v>
      </c>
    </row>
    <row r="71" spans="1:13" s="268" customFormat="1" ht="24.75" customHeight="1" thickBot="1" x14ac:dyDescent="0.4">
      <c r="A71" s="261"/>
      <c r="D71" s="644" t="s">
        <v>486</v>
      </c>
      <c r="E71" s="645"/>
      <c r="F71" s="646">
        <f>F61*H69</f>
        <v>11.518584082584086</v>
      </c>
      <c r="G71" s="647"/>
      <c r="H71" s="270" t="s">
        <v>468</v>
      </c>
    </row>
    <row r="72" spans="1:13" ht="18" customHeight="1" x14ac:dyDescent="0.25"/>
    <row r="73" spans="1:13" ht="24.75" customHeight="1" thickBot="1" x14ac:dyDescent="0.3">
      <c r="A73" s="266" t="s">
        <v>494</v>
      </c>
      <c r="B73" s="266"/>
      <c r="C73" s="266"/>
      <c r="D73" s="266"/>
      <c r="E73" s="266"/>
      <c r="F73" s="266"/>
      <c r="G73" s="266"/>
      <c r="H73" s="273">
        <f>E16</f>
        <v>2</v>
      </c>
    </row>
    <row r="74" spans="1:13" s="268" customFormat="1" ht="24.75" customHeight="1" thickBot="1" x14ac:dyDescent="0.4">
      <c r="A74" s="261"/>
      <c r="B74" s="651" t="s">
        <v>495</v>
      </c>
      <c r="C74" s="652"/>
      <c r="D74" s="652"/>
      <c r="E74" s="652"/>
      <c r="F74" s="652"/>
      <c r="G74" s="652"/>
      <c r="H74" s="653"/>
      <c r="I74" s="269" t="s">
        <v>468</v>
      </c>
    </row>
    <row r="75" spans="1:13" s="268" customFormat="1" ht="24.75" customHeight="1" thickBot="1" x14ac:dyDescent="0.4">
      <c r="A75" s="261"/>
      <c r="D75" s="644" t="s">
        <v>487</v>
      </c>
      <c r="E75" s="645"/>
      <c r="F75" s="646">
        <f>H73*F65</f>
        <v>9.2148672660672677</v>
      </c>
      <c r="G75" s="647"/>
      <c r="H75" s="270" t="s">
        <v>468</v>
      </c>
    </row>
    <row r="76" spans="1:13" ht="18" customHeight="1" thickBot="1" x14ac:dyDescent="0.3">
      <c r="B76" s="271" t="s">
        <v>496</v>
      </c>
      <c r="C76" s="232">
        <f>C66</f>
        <v>1.25</v>
      </c>
      <c r="D76" s="110" t="s">
        <v>4</v>
      </c>
      <c r="E76" s="648" t="s">
        <v>6</v>
      </c>
      <c r="F76" s="648"/>
      <c r="G76" s="648"/>
      <c r="H76" s="648"/>
    </row>
    <row r="77" spans="1:13" s="268" customFormat="1" ht="24.75" customHeight="1" thickBot="1" x14ac:dyDescent="0.4">
      <c r="A77" s="261"/>
      <c r="C77" s="651" t="s">
        <v>520</v>
      </c>
      <c r="D77" s="652"/>
      <c r="E77" s="652"/>
      <c r="F77" s="652"/>
      <c r="G77" s="652"/>
      <c r="H77" s="653"/>
      <c r="I77" s="269" t="s">
        <v>416</v>
      </c>
    </row>
    <row r="78" spans="1:13" s="268" customFormat="1" ht="24.75" customHeight="1" thickBot="1" x14ac:dyDescent="0.4">
      <c r="A78" s="261"/>
      <c r="D78" s="644" t="s">
        <v>518</v>
      </c>
      <c r="E78" s="645"/>
      <c r="F78" s="646">
        <f>F75/C76</f>
        <v>7.3718938128538145</v>
      </c>
      <c r="G78" s="647"/>
      <c r="H78" s="270" t="s">
        <v>416</v>
      </c>
    </row>
    <row r="79" spans="1:13" ht="18" customHeight="1" x14ac:dyDescent="0.25"/>
    <row r="80" spans="1:13" ht="18" customHeight="1" x14ac:dyDescent="0.25">
      <c r="A80" s="576" t="s">
        <v>497</v>
      </c>
      <c r="B80" s="577"/>
      <c r="C80" s="577"/>
      <c r="D80" s="577"/>
      <c r="E80" s="577"/>
      <c r="F80" s="577"/>
      <c r="G80" s="577"/>
      <c r="H80" s="577"/>
      <c r="I80" s="578"/>
    </row>
    <row r="81" spans="1:9" ht="18" customHeight="1" x14ac:dyDescent="0.25"/>
    <row r="82" spans="1:9" ht="24.75" customHeight="1" x14ac:dyDescent="0.25">
      <c r="A82" s="266" t="s">
        <v>498</v>
      </c>
      <c r="B82" s="266"/>
      <c r="C82" s="266"/>
      <c r="D82" s="266"/>
      <c r="E82" s="266"/>
      <c r="F82" s="266"/>
      <c r="G82" s="266"/>
      <c r="H82" s="273" t="s">
        <v>468</v>
      </c>
    </row>
    <row r="83" spans="1:9" x14ac:dyDescent="0.25">
      <c r="D83" s="654" t="s">
        <v>440</v>
      </c>
      <c r="E83" s="655"/>
      <c r="F83" s="656"/>
      <c r="G83" s="654" t="s">
        <v>441</v>
      </c>
      <c r="H83" s="655"/>
      <c r="I83" s="656"/>
    </row>
    <row r="84" spans="1:9" ht="18" customHeight="1" x14ac:dyDescent="0.25">
      <c r="A84" s="533" t="s">
        <v>502</v>
      </c>
      <c r="B84" s="534"/>
      <c r="C84" s="534"/>
      <c r="D84" s="534" t="s">
        <v>503</v>
      </c>
      <c r="E84" s="568"/>
      <c r="F84" s="277">
        <f>E8/100*H26</f>
        <v>1.835</v>
      </c>
      <c r="G84" s="533" t="s">
        <v>504</v>
      </c>
      <c r="H84" s="568"/>
      <c r="I84" s="277">
        <f>H8/100*H26</f>
        <v>1.468</v>
      </c>
    </row>
    <row r="85" spans="1:9" ht="18" customHeight="1" x14ac:dyDescent="0.25">
      <c r="A85" s="533" t="s">
        <v>499</v>
      </c>
      <c r="B85" s="534"/>
      <c r="C85" s="534"/>
      <c r="D85" s="534" t="s">
        <v>505</v>
      </c>
      <c r="E85" s="568"/>
      <c r="F85" s="277">
        <f>E9/100*H33</f>
        <v>0.504</v>
      </c>
      <c r="G85" s="533" t="s">
        <v>506</v>
      </c>
      <c r="H85" s="568"/>
      <c r="I85" s="277">
        <f>H9/100*H33</f>
        <v>0.40319999999999995</v>
      </c>
    </row>
    <row r="86" spans="1:9" ht="18" customHeight="1" x14ac:dyDescent="0.25">
      <c r="A86" s="533" t="s">
        <v>500</v>
      </c>
      <c r="B86" s="534"/>
      <c r="C86" s="534"/>
      <c r="D86" s="649" t="s">
        <v>446</v>
      </c>
      <c r="E86" s="650"/>
      <c r="F86" s="277">
        <f>E11/100</f>
        <v>0</v>
      </c>
      <c r="G86" s="649" t="s">
        <v>452</v>
      </c>
      <c r="H86" s="650"/>
      <c r="I86" s="277">
        <f>H11/100</f>
        <v>0.2</v>
      </c>
    </row>
    <row r="87" spans="1:9" ht="18" customHeight="1" x14ac:dyDescent="0.25">
      <c r="A87" s="533" t="s">
        <v>501</v>
      </c>
      <c r="B87" s="534"/>
      <c r="C87" s="534"/>
      <c r="D87" s="649" t="s">
        <v>507</v>
      </c>
      <c r="E87" s="650"/>
      <c r="F87" s="277">
        <f>F61-F40</f>
        <v>4.416292041292043</v>
      </c>
      <c r="G87" s="649" t="s">
        <v>508</v>
      </c>
      <c r="H87" s="650"/>
      <c r="I87" s="277">
        <f>F65-F44</f>
        <v>3.533033633033634</v>
      </c>
    </row>
    <row r="88" spans="1:9" ht="18" customHeight="1" x14ac:dyDescent="0.25">
      <c r="A88" s="533" t="s">
        <v>324</v>
      </c>
      <c r="B88" s="534"/>
      <c r="C88" s="534"/>
      <c r="D88" s="534" t="s">
        <v>509</v>
      </c>
      <c r="E88" s="568"/>
      <c r="F88" s="277">
        <f>F61*(E16-1)</f>
        <v>5.759292041292043</v>
      </c>
      <c r="G88" s="534" t="s">
        <v>654</v>
      </c>
      <c r="H88" s="568"/>
      <c r="I88" s="277">
        <f>F65*(E16-1)</f>
        <v>4.6074336330336338</v>
      </c>
    </row>
    <row r="89" spans="1:9" ht="18" customHeight="1" x14ac:dyDescent="0.25">
      <c r="A89" s="533" t="s">
        <v>510</v>
      </c>
      <c r="B89" s="534"/>
      <c r="C89" s="534"/>
      <c r="D89" s="534" t="s">
        <v>511</v>
      </c>
      <c r="E89" s="568"/>
      <c r="F89" s="276">
        <f>SUM(F84:F88)</f>
        <v>12.514584082584086</v>
      </c>
      <c r="G89" s="534" t="s">
        <v>512</v>
      </c>
      <c r="H89" s="568"/>
      <c r="I89" s="276">
        <f>SUM(I84:I88)</f>
        <v>10.211667266067268</v>
      </c>
    </row>
    <row r="90" spans="1:9" ht="18" customHeight="1" x14ac:dyDescent="0.25"/>
    <row r="91" spans="1:9" ht="24.75" customHeight="1" thickBot="1" x14ac:dyDescent="0.3">
      <c r="A91" s="266" t="s">
        <v>515</v>
      </c>
      <c r="B91" s="266"/>
      <c r="C91" s="266"/>
      <c r="D91" s="266"/>
      <c r="E91" s="266"/>
      <c r="F91" s="266"/>
      <c r="G91" s="266"/>
      <c r="I91" s="278"/>
    </row>
    <row r="92" spans="1:9" s="268" customFormat="1" ht="24.75" customHeight="1" thickBot="1" x14ac:dyDescent="0.4">
      <c r="A92" s="261"/>
      <c r="B92" s="651" t="s">
        <v>605</v>
      </c>
      <c r="C92" s="652"/>
      <c r="D92" s="652"/>
      <c r="E92" s="652"/>
      <c r="F92" s="652"/>
      <c r="G92" s="652"/>
      <c r="H92" s="653"/>
      <c r="I92" s="269" t="s">
        <v>223</v>
      </c>
    </row>
    <row r="93" spans="1:9" ht="18" customHeight="1" thickBot="1" x14ac:dyDescent="0.3">
      <c r="B93" s="271" t="s">
        <v>404</v>
      </c>
      <c r="C93" s="232">
        <f>E15</f>
        <v>3</v>
      </c>
      <c r="D93" s="110" t="s">
        <v>223</v>
      </c>
      <c r="E93" s="648" t="s">
        <v>514</v>
      </c>
      <c r="F93" s="648"/>
      <c r="G93" s="648"/>
      <c r="H93" s="648"/>
    </row>
    <row r="94" spans="1:9" s="268" customFormat="1" ht="24.75" customHeight="1" thickBot="1" x14ac:dyDescent="0.4">
      <c r="A94" s="261"/>
      <c r="D94" s="644" t="s">
        <v>513</v>
      </c>
      <c r="E94" s="645"/>
      <c r="F94" s="646">
        <f>I89*E15</f>
        <v>30.635001798201806</v>
      </c>
      <c r="G94" s="647"/>
      <c r="H94" s="270" t="s">
        <v>223</v>
      </c>
    </row>
    <row r="95" spans="1:9" ht="18" customHeight="1" thickBot="1" x14ac:dyDescent="0.3">
      <c r="B95" s="271" t="s">
        <v>516</v>
      </c>
      <c r="C95" s="109">
        <v>0.67800000000000005</v>
      </c>
      <c r="D95" s="110" t="s">
        <v>4</v>
      </c>
      <c r="E95" s="674" t="s">
        <v>351</v>
      </c>
      <c r="F95" s="675"/>
      <c r="G95" s="279" t="s">
        <v>517</v>
      </c>
      <c r="H95" s="313">
        <v>250</v>
      </c>
      <c r="I95" s="280" t="s">
        <v>10</v>
      </c>
    </row>
    <row r="96" spans="1:9" s="268" customFormat="1" ht="24.75" customHeight="1" thickBot="1" x14ac:dyDescent="0.4">
      <c r="A96" s="261"/>
      <c r="C96" s="651" t="s">
        <v>521</v>
      </c>
      <c r="D96" s="652"/>
      <c r="E96" s="652"/>
      <c r="F96" s="652"/>
      <c r="G96" s="652"/>
      <c r="H96" s="673"/>
      <c r="I96" s="269" t="s">
        <v>606</v>
      </c>
    </row>
    <row r="97" spans="1:8" s="268" customFormat="1" ht="24.75" customHeight="1" thickBot="1" x14ac:dyDescent="0.4">
      <c r="A97" s="261"/>
      <c r="D97" s="644" t="s">
        <v>519</v>
      </c>
      <c r="E97" s="645"/>
      <c r="F97" s="646">
        <f>F94/C95</f>
        <v>45.184368433925961</v>
      </c>
      <c r="G97" s="647"/>
      <c r="H97" s="270" t="s">
        <v>606</v>
      </c>
    </row>
    <row r="98" spans="1:8" s="268" customFormat="1" ht="24.75" customHeight="1" thickBot="1" x14ac:dyDescent="0.4">
      <c r="D98" s="644" t="s">
        <v>519</v>
      </c>
      <c r="E98" s="645"/>
      <c r="F98" s="671">
        <f>F97/3600</f>
        <v>1.2551213453868322E-2</v>
      </c>
      <c r="G98" s="672"/>
      <c r="H98" s="270" t="s">
        <v>604</v>
      </c>
    </row>
    <row r="99" spans="1:8" ht="18" customHeight="1" thickBot="1" x14ac:dyDescent="0.3">
      <c r="A99" s="266" t="s">
        <v>522</v>
      </c>
      <c r="B99" s="266"/>
      <c r="C99" s="266"/>
      <c r="D99" s="266"/>
      <c r="E99" s="266"/>
      <c r="F99" s="266"/>
      <c r="G99" s="266"/>
    </row>
    <row r="100" spans="1:8" ht="18" customHeight="1" thickBot="1" x14ac:dyDescent="0.4">
      <c r="A100" s="261"/>
      <c r="B100" s="268"/>
      <c r="C100" s="268"/>
      <c r="D100" s="644" t="s">
        <v>513</v>
      </c>
      <c r="E100" s="645"/>
      <c r="F100" s="646">
        <f>F94*1000/3600</f>
        <v>8.5097227217227243</v>
      </c>
      <c r="G100" s="647"/>
      <c r="H100" s="281" t="s">
        <v>253</v>
      </c>
    </row>
    <row r="101" spans="1:8" ht="18" customHeight="1" x14ac:dyDescent="0.25"/>
    <row r="102" spans="1:8" ht="18" customHeight="1" x14ac:dyDescent="0.25"/>
    <row r="103" spans="1:8" ht="18" customHeight="1" x14ac:dyDescent="0.25"/>
    <row r="104" spans="1:8" ht="18" customHeight="1" x14ac:dyDescent="0.25"/>
    <row r="105" spans="1:8" ht="18" customHeight="1" x14ac:dyDescent="0.25"/>
    <row r="106" spans="1:8" ht="18" customHeight="1" x14ac:dyDescent="0.25"/>
    <row r="107" spans="1:8" ht="18" customHeight="1" x14ac:dyDescent="0.25"/>
    <row r="108" spans="1:8" ht="18" customHeight="1" x14ac:dyDescent="0.25"/>
    <row r="109" spans="1:8" ht="18" customHeight="1" x14ac:dyDescent="0.25"/>
    <row r="110" spans="1:8" ht="18" customHeight="1" x14ac:dyDescent="0.25"/>
    <row r="111" spans="1:8" ht="18" customHeight="1" x14ac:dyDescent="0.25"/>
    <row r="112" spans="1:8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</sheetData>
  <mergeCells count="100">
    <mergeCell ref="F94:G94"/>
    <mergeCell ref="E93:H93"/>
    <mergeCell ref="A87:C87"/>
    <mergeCell ref="F65:G65"/>
    <mergeCell ref="B70:H70"/>
    <mergeCell ref="D71:E71"/>
    <mergeCell ref="F71:G71"/>
    <mergeCell ref="D75:E75"/>
    <mergeCell ref="F75:G75"/>
    <mergeCell ref="E76:H76"/>
    <mergeCell ref="B74:H74"/>
    <mergeCell ref="D85:E85"/>
    <mergeCell ref="G85:H85"/>
    <mergeCell ref="D86:E86"/>
    <mergeCell ref="G86:H86"/>
    <mergeCell ref="D89:E89"/>
    <mergeCell ref="E55:H55"/>
    <mergeCell ref="D100:E100"/>
    <mergeCell ref="F100:G100"/>
    <mergeCell ref="D78:E78"/>
    <mergeCell ref="F78:G78"/>
    <mergeCell ref="D98:E98"/>
    <mergeCell ref="F98:G98"/>
    <mergeCell ref="C96:H96"/>
    <mergeCell ref="D97:E97"/>
    <mergeCell ref="F97:G97"/>
    <mergeCell ref="E95:F95"/>
    <mergeCell ref="B92:H92"/>
    <mergeCell ref="A88:C88"/>
    <mergeCell ref="A89:C89"/>
    <mergeCell ref="D84:E84"/>
    <mergeCell ref="D94:E94"/>
    <mergeCell ref="B64:H64"/>
    <mergeCell ref="D65:E65"/>
    <mergeCell ref="F40:G40"/>
    <mergeCell ref="B43:H43"/>
    <mergeCell ref="D44:E44"/>
    <mergeCell ref="F44:G44"/>
    <mergeCell ref="D40:E40"/>
    <mergeCell ref="E56:H56"/>
    <mergeCell ref="E57:H57"/>
    <mergeCell ref="B60:H60"/>
    <mergeCell ref="D61:E61"/>
    <mergeCell ref="F61:G61"/>
    <mergeCell ref="A46:I46"/>
    <mergeCell ref="B48:E48"/>
    <mergeCell ref="A50:D50"/>
    <mergeCell ref="E54:H54"/>
    <mergeCell ref="B39:H39"/>
    <mergeCell ref="A25:E25"/>
    <mergeCell ref="A26:E26"/>
    <mergeCell ref="A33:E33"/>
    <mergeCell ref="A32:E32"/>
    <mergeCell ref="C30:H30"/>
    <mergeCell ref="F25:G25"/>
    <mergeCell ref="F26:G26"/>
    <mergeCell ref="F32:G32"/>
    <mergeCell ref="F33:G33"/>
    <mergeCell ref="A36:I36"/>
    <mergeCell ref="B5:G5"/>
    <mergeCell ref="A22:B22"/>
    <mergeCell ref="C22:H22"/>
    <mergeCell ref="C23:H23"/>
    <mergeCell ref="A21:D21"/>
    <mergeCell ref="E21:H21"/>
    <mergeCell ref="D7:F7"/>
    <mergeCell ref="G7:I7"/>
    <mergeCell ref="A18:I18"/>
    <mergeCell ref="A19:I19"/>
    <mergeCell ref="A8:C8"/>
    <mergeCell ref="A9:C9"/>
    <mergeCell ref="A12:C12"/>
    <mergeCell ref="A13:C13"/>
    <mergeCell ref="A11:C11"/>
    <mergeCell ref="G89:H89"/>
    <mergeCell ref="A1:I1"/>
    <mergeCell ref="C77:H77"/>
    <mergeCell ref="A80:I80"/>
    <mergeCell ref="D83:F83"/>
    <mergeCell ref="G83:I83"/>
    <mergeCell ref="A28:D28"/>
    <mergeCell ref="E28:H28"/>
    <mergeCell ref="A29:B29"/>
    <mergeCell ref="C29:H29"/>
    <mergeCell ref="A16:C16"/>
    <mergeCell ref="A10:C10"/>
    <mergeCell ref="A15:C15"/>
    <mergeCell ref="A3:I3"/>
    <mergeCell ref="H5:I5"/>
    <mergeCell ref="A86:C86"/>
    <mergeCell ref="D87:E87"/>
    <mergeCell ref="G87:H87"/>
    <mergeCell ref="G84:H84"/>
    <mergeCell ref="D88:E88"/>
    <mergeCell ref="G88:H88"/>
    <mergeCell ref="D67:E67"/>
    <mergeCell ref="F67:G67"/>
    <mergeCell ref="E66:H66"/>
    <mergeCell ref="A84:C84"/>
    <mergeCell ref="A85:C85"/>
  </mergeCells>
  <hyperlinks>
    <hyperlink ref="L62" r:id="rId1" location="t13" display="http://vytapeni.tzb-info.cz/vytapime-plynem/1963-spalovaci-vlastnosti-zp-i - t13"/>
    <hyperlink ref="L66" r:id="rId2" location="t13" display="http://vytapeni.tzb-info.cz/vytapime-plynem/1963-spalovaci-vlastnosti-zp-i - t13"/>
    <hyperlink ref="L67" r:id="rId3" location="t15" display="http://vytapeni.tzb-info.cz/vytapime-plynem/1963-spalovaci-vlastnosti-zp-i - t15"/>
  </hyperlinks>
  <pageMargins left="0.7" right="0.7" top="0.75" bottom="0.75" header="0.3" footer="0.3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9" sqref="H9"/>
    </sheetView>
  </sheetViews>
  <sheetFormatPr defaultRowHeight="15" x14ac:dyDescent="0.25"/>
  <cols>
    <col min="1" max="9" width="9.140625" style="115"/>
  </cols>
  <sheetData>
    <row r="1" spans="1:9" ht="39" thickBot="1" x14ac:dyDescent="0.3">
      <c r="A1" s="525" t="s">
        <v>561</v>
      </c>
      <c r="B1" s="526"/>
      <c r="C1" s="526"/>
      <c r="D1" s="526"/>
      <c r="E1" s="526"/>
      <c r="F1" s="526"/>
      <c r="G1" s="526"/>
      <c r="H1" s="526"/>
      <c r="I1" s="527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ht="29.25" x14ac:dyDescent="0.25">
      <c r="A3" s="191" t="s">
        <v>0</v>
      </c>
      <c r="B3" s="624" t="s">
        <v>569</v>
      </c>
      <c r="C3" s="625"/>
      <c r="D3" s="625"/>
      <c r="E3" s="625"/>
      <c r="F3" s="625"/>
      <c r="G3" s="625"/>
      <c r="H3" s="626"/>
    </row>
    <row r="4" spans="1:9" s="102" customFormat="1" ht="11.25" customHeight="1" x14ac:dyDescent="0.25">
      <c r="A4" s="300"/>
      <c r="B4" s="301"/>
      <c r="C4" s="301"/>
      <c r="D4" s="301"/>
      <c r="E4" s="301"/>
      <c r="F4" s="301"/>
      <c r="G4" s="301"/>
      <c r="H4" s="301"/>
      <c r="I4" s="302"/>
    </row>
    <row r="5" spans="1:9" ht="29.25" x14ac:dyDescent="0.25">
      <c r="A5" s="191"/>
      <c r="B5" s="624" t="s">
        <v>573</v>
      </c>
      <c r="C5" s="625"/>
      <c r="D5" s="625"/>
      <c r="E5" s="625"/>
      <c r="F5" s="625"/>
      <c r="G5" s="625"/>
      <c r="H5" s="626"/>
    </row>
    <row r="6" spans="1:9" ht="18" customHeight="1" x14ac:dyDescent="0.25">
      <c r="B6" s="296" t="s">
        <v>562</v>
      </c>
      <c r="C6" s="540" t="s">
        <v>633</v>
      </c>
      <c r="D6" s="540"/>
      <c r="E6" s="540"/>
      <c r="F6" s="540"/>
      <c r="G6" s="540"/>
      <c r="H6" s="115" t="s">
        <v>563</v>
      </c>
    </row>
    <row r="7" spans="1:9" ht="18" customHeight="1" x14ac:dyDescent="0.25">
      <c r="B7" s="296" t="s">
        <v>565</v>
      </c>
      <c r="C7" s="540" t="s">
        <v>634</v>
      </c>
      <c r="D7" s="540"/>
      <c r="E7" s="540"/>
      <c r="F7" s="540"/>
      <c r="G7" s="540"/>
      <c r="H7" s="115" t="s">
        <v>564</v>
      </c>
    </row>
    <row r="8" spans="1:9" ht="18" customHeight="1" x14ac:dyDescent="0.25">
      <c r="B8" s="67" t="s">
        <v>566</v>
      </c>
      <c r="C8" s="540" t="s">
        <v>567</v>
      </c>
      <c r="D8" s="540"/>
      <c r="E8" s="540"/>
      <c r="F8" s="540"/>
      <c r="G8" s="540"/>
      <c r="H8" s="115" t="s">
        <v>568</v>
      </c>
    </row>
    <row r="9" spans="1:9" ht="18" customHeight="1" x14ac:dyDescent="0.25">
      <c r="B9" s="296" t="s">
        <v>570</v>
      </c>
      <c r="C9" s="634" t="s">
        <v>571</v>
      </c>
      <c r="D9" s="634"/>
      <c r="E9" s="634"/>
      <c r="F9" s="634"/>
      <c r="G9" s="634"/>
      <c r="H9" s="115" t="s">
        <v>572</v>
      </c>
    </row>
    <row r="10" spans="1:9" ht="10.5" customHeight="1" x14ac:dyDescent="0.25"/>
    <row r="11" spans="1:9" ht="18" customHeight="1" x14ac:dyDescent="0.25">
      <c r="A11" s="191" t="s">
        <v>212</v>
      </c>
      <c r="B11" s="529" t="s">
        <v>562</v>
      </c>
      <c r="C11" s="529"/>
      <c r="D11" s="109">
        <v>0</v>
      </c>
      <c r="E11" s="110" t="s">
        <v>563</v>
      </c>
    </row>
    <row r="12" spans="1:9" ht="18" customHeight="1" x14ac:dyDescent="0.25">
      <c r="A12" s="191"/>
      <c r="B12" s="533" t="s">
        <v>574</v>
      </c>
      <c r="C12" s="568"/>
      <c r="D12" s="109">
        <v>1340</v>
      </c>
      <c r="E12" s="110" t="s">
        <v>564</v>
      </c>
    </row>
    <row r="13" spans="1:9" ht="18" customHeight="1" x14ac:dyDescent="0.25">
      <c r="A13" s="191"/>
      <c r="B13" s="533" t="s">
        <v>575</v>
      </c>
      <c r="C13" s="568"/>
      <c r="D13" s="299" t="s">
        <v>632</v>
      </c>
      <c r="E13" s="110"/>
    </row>
    <row r="14" spans="1:9" ht="18" customHeight="1" x14ac:dyDescent="0.25">
      <c r="B14" s="529" t="s">
        <v>593</v>
      </c>
      <c r="C14" s="529"/>
      <c r="D14" s="109">
        <v>25</v>
      </c>
      <c r="E14" s="110" t="s">
        <v>10</v>
      </c>
    </row>
    <row r="15" spans="1:9" ht="18" customHeight="1" x14ac:dyDescent="0.25">
      <c r="B15" s="542" t="s">
        <v>594</v>
      </c>
      <c r="C15" s="542"/>
      <c r="D15" s="175">
        <v>101325</v>
      </c>
      <c r="E15" s="174" t="s">
        <v>11</v>
      </c>
      <c r="F15" s="115">
        <v>101325</v>
      </c>
      <c r="G15" s="115" t="s">
        <v>600</v>
      </c>
    </row>
    <row r="16" spans="1:9" ht="18" customHeight="1" x14ac:dyDescent="0.25">
      <c r="B16" s="533" t="s">
        <v>577</v>
      </c>
      <c r="C16" s="534"/>
      <c r="D16" s="188">
        <f>IF(D15=101325,IF(D14=0,F30,IF(D14=25,F31,E20)),E20)</f>
        <v>24.45</v>
      </c>
      <c r="E16" s="174" t="s">
        <v>568</v>
      </c>
      <c r="F16" s="306"/>
      <c r="G16" s="307"/>
      <c r="H16" s="195"/>
      <c r="I16"/>
    </row>
    <row r="17" spans="1:9" s="115" customFormat="1" ht="18" customHeight="1" x14ac:dyDescent="0.25">
      <c r="A17" s="192"/>
      <c r="B17" s="533" t="s">
        <v>570</v>
      </c>
      <c r="C17" s="534"/>
      <c r="D17" s="305">
        <f>IF(D13=A30,B30,IF(D13=A31,B31,IF(D13=A32,B32,IF(D13=A33,B33,IF(D13=A34,B34,IF(D13=A35,B35,IF(D13=A36,B36,IF(D13=A37,B37,IF(D13=A38,B38,IF(D13=A39,B39,IF(D13=A40,B40,"nic")))))))))))</f>
        <v>44.01</v>
      </c>
      <c r="E17" s="174" t="s">
        <v>572</v>
      </c>
    </row>
    <row r="18" spans="1:9" s="115" customFormat="1" ht="18" customHeight="1" x14ac:dyDescent="0.25">
      <c r="A18" s="192"/>
      <c r="B18" s="533" t="s">
        <v>592</v>
      </c>
      <c r="C18" s="534"/>
      <c r="D18" s="308">
        <v>8.3145100000000003</v>
      </c>
      <c r="E18" s="678" t="s">
        <v>596</v>
      </c>
      <c r="F18" s="532"/>
      <c r="G18" s="115" t="s">
        <v>595</v>
      </c>
    </row>
    <row r="19" spans="1:9" s="115" customFormat="1" ht="18" customHeight="1" x14ac:dyDescent="0.25">
      <c r="A19" s="258"/>
      <c r="B19" s="543" t="s">
        <v>597</v>
      </c>
      <c r="C19" s="543"/>
      <c r="D19" s="544"/>
      <c r="E19" s="679" t="s">
        <v>598</v>
      </c>
      <c r="F19" s="680"/>
      <c r="G19" s="680"/>
      <c r="H19" s="681"/>
      <c r="I19" s="309" t="s">
        <v>568</v>
      </c>
    </row>
    <row r="20" spans="1:9" s="115" customFormat="1" ht="18" customHeight="1" x14ac:dyDescent="0.25">
      <c r="A20" s="258"/>
      <c r="B20" s="677" t="s">
        <v>599</v>
      </c>
      <c r="C20" s="677"/>
      <c r="D20" s="677"/>
      <c r="E20" s="197">
        <f>D18*(D14+273.15)/D15*1000</f>
        <v>24.465543118677523</v>
      </c>
      <c r="F20" s="311" t="s">
        <v>568</v>
      </c>
      <c r="G20" s="258"/>
      <c r="H20" s="258"/>
      <c r="I20" s="258"/>
    </row>
    <row r="21" spans="1:9" s="115" customFormat="1" ht="18" customHeight="1" x14ac:dyDescent="0.25">
      <c r="A21" s="258"/>
      <c r="B21" s="543" t="s">
        <v>601</v>
      </c>
      <c r="C21" s="543"/>
      <c r="D21" s="543"/>
      <c r="E21" s="543"/>
      <c r="F21" s="683" t="s">
        <v>602</v>
      </c>
      <c r="G21" s="684"/>
      <c r="H21" s="684"/>
      <c r="I21" s="685"/>
    </row>
    <row r="22" spans="1:9" s="115" customFormat="1" ht="18" customHeight="1" x14ac:dyDescent="0.25">
      <c r="E22" s="310"/>
      <c r="F22" s="686"/>
      <c r="G22" s="687"/>
      <c r="H22" s="687"/>
      <c r="I22" s="688"/>
    </row>
    <row r="23" spans="1:9" s="115" customFormat="1" ht="18" customHeight="1" x14ac:dyDescent="0.25">
      <c r="B23" s="541" t="s">
        <v>603</v>
      </c>
      <c r="C23" s="541"/>
      <c r="D23" s="541"/>
      <c r="E23" s="541"/>
      <c r="F23" s="541"/>
      <c r="G23" s="541"/>
      <c r="H23" s="541"/>
      <c r="I23" s="541"/>
    </row>
    <row r="24" spans="1:9" ht="10.5" customHeight="1" x14ac:dyDescent="0.25">
      <c r="B24"/>
      <c r="G24"/>
      <c r="H24"/>
      <c r="I24"/>
    </row>
    <row r="25" spans="1:9" s="8" customFormat="1" ht="26.25" x14ac:dyDescent="0.3">
      <c r="B25" s="629" t="s">
        <v>562</v>
      </c>
      <c r="C25" s="630"/>
      <c r="D25" s="630"/>
      <c r="E25" s="682">
        <f>D12*D16/D17</f>
        <v>744.44444444444446</v>
      </c>
      <c r="F25" s="682"/>
      <c r="G25" s="682"/>
      <c r="H25" s="630" t="s">
        <v>563</v>
      </c>
      <c r="I25" s="632"/>
    </row>
    <row r="26" spans="1:9" ht="10.5" customHeight="1" x14ac:dyDescent="0.25">
      <c r="E26" s="303"/>
      <c r="F26" s="303"/>
      <c r="G26" s="303"/>
    </row>
    <row r="27" spans="1:9" s="8" customFormat="1" ht="29.25" x14ac:dyDescent="0.3">
      <c r="B27" s="629" t="s">
        <v>578</v>
      </c>
      <c r="C27" s="630"/>
      <c r="D27" s="630"/>
      <c r="E27" s="682">
        <f>D11*D17/D16</f>
        <v>0</v>
      </c>
      <c r="F27" s="682"/>
      <c r="G27" s="682"/>
      <c r="H27" s="630" t="s">
        <v>579</v>
      </c>
      <c r="I27" s="632"/>
    </row>
    <row r="29" spans="1:9" x14ac:dyDescent="0.25">
      <c r="A29" s="676" t="s">
        <v>580</v>
      </c>
      <c r="B29" s="676"/>
      <c r="C29" s="676"/>
      <c r="D29" s="676" t="s">
        <v>591</v>
      </c>
      <c r="E29" s="676"/>
      <c r="F29" s="676"/>
      <c r="G29" s="676"/>
    </row>
    <row r="30" spans="1:9" x14ac:dyDescent="0.25">
      <c r="A30" s="296" t="s">
        <v>576</v>
      </c>
      <c r="B30" s="304">
        <v>28.01</v>
      </c>
      <c r="C30" s="296" t="s">
        <v>572</v>
      </c>
      <c r="D30" s="115">
        <v>0</v>
      </c>
      <c r="E30" s="115" t="s">
        <v>10</v>
      </c>
      <c r="F30" s="184">
        <v>22.414000000000001</v>
      </c>
      <c r="G30" s="296" t="s">
        <v>568</v>
      </c>
    </row>
    <row r="31" spans="1:9" x14ac:dyDescent="0.25">
      <c r="A31" s="296" t="s">
        <v>581</v>
      </c>
      <c r="B31" s="304">
        <v>44.01</v>
      </c>
      <c r="C31" s="296" t="s">
        <v>572</v>
      </c>
      <c r="D31" s="115">
        <v>25</v>
      </c>
      <c r="E31" s="115" t="s">
        <v>10</v>
      </c>
      <c r="F31" s="184">
        <v>24.45</v>
      </c>
      <c r="G31" s="296" t="s">
        <v>568</v>
      </c>
    </row>
    <row r="32" spans="1:9" x14ac:dyDescent="0.25">
      <c r="A32" s="296" t="s">
        <v>582</v>
      </c>
      <c r="B32" s="304">
        <v>32</v>
      </c>
      <c r="C32" s="296" t="s">
        <v>572</v>
      </c>
    </row>
    <row r="33" spans="1:3" x14ac:dyDescent="0.25">
      <c r="A33" s="296" t="s">
        <v>585</v>
      </c>
      <c r="B33" s="304">
        <v>28.01</v>
      </c>
      <c r="C33" s="296" t="s">
        <v>572</v>
      </c>
    </row>
    <row r="34" spans="1:3" x14ac:dyDescent="0.25">
      <c r="A34" s="296" t="s">
        <v>583</v>
      </c>
      <c r="B34" s="304">
        <v>30.01</v>
      </c>
      <c r="C34" s="296" t="s">
        <v>572</v>
      </c>
    </row>
    <row r="35" spans="1:3" x14ac:dyDescent="0.25">
      <c r="A35" s="296" t="s">
        <v>584</v>
      </c>
      <c r="B35" s="304">
        <v>46.01</v>
      </c>
      <c r="C35" s="296" t="s">
        <v>572</v>
      </c>
    </row>
    <row r="36" spans="1:3" x14ac:dyDescent="0.25">
      <c r="A36" s="296" t="s">
        <v>586</v>
      </c>
      <c r="B36" s="304">
        <v>2.02</v>
      </c>
      <c r="C36" s="296" t="s">
        <v>572</v>
      </c>
    </row>
    <row r="37" spans="1:3" x14ac:dyDescent="0.25">
      <c r="A37" s="296" t="s">
        <v>587</v>
      </c>
      <c r="B37" s="304">
        <v>64.06</v>
      </c>
      <c r="C37" s="296" t="s">
        <v>572</v>
      </c>
    </row>
    <row r="38" spans="1:3" x14ac:dyDescent="0.25">
      <c r="A38" s="296" t="s">
        <v>588</v>
      </c>
      <c r="B38" s="304">
        <v>18.02</v>
      </c>
      <c r="C38" s="296" t="s">
        <v>572</v>
      </c>
    </row>
    <row r="39" spans="1:3" x14ac:dyDescent="0.25">
      <c r="A39" s="296" t="s">
        <v>589</v>
      </c>
      <c r="B39" s="304">
        <v>16.04</v>
      </c>
      <c r="C39" s="296" t="s">
        <v>572</v>
      </c>
    </row>
    <row r="40" spans="1:3" x14ac:dyDescent="0.25">
      <c r="A40" s="296" t="s">
        <v>590</v>
      </c>
      <c r="B40" s="304">
        <v>4</v>
      </c>
      <c r="C40" s="296" t="s">
        <v>572</v>
      </c>
    </row>
  </sheetData>
  <mergeCells count="30">
    <mergeCell ref="E19:H19"/>
    <mergeCell ref="B27:D27"/>
    <mergeCell ref="E25:G25"/>
    <mergeCell ref="H25:I25"/>
    <mergeCell ref="E27:G27"/>
    <mergeCell ref="H27:I27"/>
    <mergeCell ref="B21:E21"/>
    <mergeCell ref="F21:I22"/>
    <mergeCell ref="B23:I23"/>
    <mergeCell ref="A29:C29"/>
    <mergeCell ref="D29:G29"/>
    <mergeCell ref="B3:H3"/>
    <mergeCell ref="C9:G9"/>
    <mergeCell ref="B5:H5"/>
    <mergeCell ref="B12:C12"/>
    <mergeCell ref="B13:C13"/>
    <mergeCell ref="B16:C16"/>
    <mergeCell ref="B17:C17"/>
    <mergeCell ref="B19:D19"/>
    <mergeCell ref="B20:D20"/>
    <mergeCell ref="B25:D25"/>
    <mergeCell ref="B18:C18"/>
    <mergeCell ref="E18:F18"/>
    <mergeCell ref="B11:C11"/>
    <mergeCell ref="B14:C14"/>
    <mergeCell ref="B15:C15"/>
    <mergeCell ref="A1:I1"/>
    <mergeCell ref="C6:G6"/>
    <mergeCell ref="C7:G7"/>
    <mergeCell ref="C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M23" sqref="M23"/>
    </sheetView>
  </sheetViews>
  <sheetFormatPr defaultRowHeight="15" x14ac:dyDescent="0.25"/>
  <cols>
    <col min="1" max="9" width="9.140625" style="115"/>
    <col min="11" max="11" width="10.5703125" bestFit="1" customWidth="1"/>
  </cols>
  <sheetData>
    <row r="1" spans="1:11" ht="34.5" thickBot="1" x14ac:dyDescent="0.3">
      <c r="A1" s="525" t="s">
        <v>635</v>
      </c>
      <c r="B1" s="526"/>
      <c r="C1" s="526"/>
      <c r="D1" s="526"/>
      <c r="E1" s="526"/>
      <c r="F1" s="526"/>
      <c r="G1" s="526"/>
      <c r="H1" s="526"/>
      <c r="I1" s="527"/>
    </row>
    <row r="2" spans="1:11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11" ht="26.25" x14ac:dyDescent="0.25">
      <c r="A3" s="191" t="s">
        <v>0</v>
      </c>
      <c r="B3" s="624" t="s">
        <v>636</v>
      </c>
      <c r="C3" s="625"/>
      <c r="D3" s="625"/>
      <c r="E3" s="625"/>
      <c r="F3" s="625"/>
      <c r="G3" s="625"/>
      <c r="H3" s="626"/>
    </row>
    <row r="4" spans="1:11" s="102" customFormat="1" ht="11.25" customHeight="1" x14ac:dyDescent="0.25">
      <c r="A4" s="300"/>
      <c r="B4" s="301"/>
      <c r="C4" s="301"/>
      <c r="D4" s="301"/>
      <c r="E4" s="301"/>
      <c r="F4" s="301"/>
      <c r="G4" s="301"/>
      <c r="H4" s="301"/>
      <c r="I4" s="302"/>
    </row>
    <row r="5" spans="1:11" ht="29.25" x14ac:dyDescent="0.25">
      <c r="A5" s="191"/>
      <c r="B5" s="624" t="s">
        <v>652</v>
      </c>
      <c r="C5" s="625"/>
      <c r="D5" s="625"/>
      <c r="E5" s="625"/>
      <c r="F5" s="625"/>
      <c r="G5" s="625"/>
      <c r="H5" s="626"/>
    </row>
    <row r="6" spans="1:11" ht="18" customHeight="1" x14ac:dyDescent="0.25">
      <c r="B6" s="326" t="s">
        <v>404</v>
      </c>
      <c r="C6" s="540" t="s">
        <v>637</v>
      </c>
      <c r="D6" s="540"/>
      <c r="E6" s="540"/>
      <c r="F6" s="540"/>
      <c r="G6" s="540"/>
      <c r="H6" s="115" t="s">
        <v>638</v>
      </c>
    </row>
    <row r="7" spans="1:11" ht="18" customHeight="1" x14ac:dyDescent="0.25">
      <c r="B7" s="326" t="s">
        <v>639</v>
      </c>
      <c r="C7" s="540" t="s">
        <v>640</v>
      </c>
      <c r="D7" s="540"/>
      <c r="E7" s="540"/>
      <c r="F7" s="540"/>
      <c r="G7" s="540"/>
      <c r="H7" s="115" t="s">
        <v>392</v>
      </c>
    </row>
    <row r="8" spans="1:11" ht="18" customHeight="1" x14ac:dyDescent="0.25">
      <c r="B8" s="67" t="s">
        <v>2</v>
      </c>
      <c r="C8" s="540" t="s">
        <v>641</v>
      </c>
      <c r="D8" s="540"/>
      <c r="E8" s="540"/>
      <c r="F8" s="540"/>
      <c r="G8" s="540"/>
      <c r="H8" s="115" t="s">
        <v>377</v>
      </c>
    </row>
    <row r="9" spans="1:11" ht="18" customHeight="1" x14ac:dyDescent="0.25">
      <c r="B9" s="326" t="s">
        <v>642</v>
      </c>
      <c r="C9" s="690" t="s">
        <v>643</v>
      </c>
      <c r="D9" s="634"/>
      <c r="E9" s="634"/>
      <c r="F9" s="634"/>
      <c r="G9" s="634"/>
      <c r="H9" s="115" t="s">
        <v>644</v>
      </c>
    </row>
    <row r="10" spans="1:11" ht="10.5" customHeight="1" x14ac:dyDescent="0.25"/>
    <row r="11" spans="1:11" ht="18" customHeight="1" x14ac:dyDescent="0.25">
      <c r="A11" s="191" t="s">
        <v>212</v>
      </c>
      <c r="B11" s="529" t="s">
        <v>404</v>
      </c>
      <c r="C11" s="529"/>
      <c r="D11" s="109">
        <f>F11/1000</f>
        <v>1E-4</v>
      </c>
      <c r="E11" s="110" t="s">
        <v>638</v>
      </c>
      <c r="F11" s="342">
        <v>0.1</v>
      </c>
      <c r="G11" s="110" t="s">
        <v>661</v>
      </c>
    </row>
    <row r="12" spans="1:11" ht="18" customHeight="1" x14ac:dyDescent="0.25">
      <c r="A12" s="191"/>
      <c r="B12" s="533" t="s">
        <v>639</v>
      </c>
      <c r="C12" s="568"/>
      <c r="D12" s="333">
        <f>IF(G12&gt;0,POWER(G12/2,2)*PI(),G13*I13)</f>
        <v>1E-4</v>
      </c>
      <c r="E12" s="330" t="s">
        <v>392</v>
      </c>
      <c r="F12" s="327" t="s">
        <v>273</v>
      </c>
      <c r="G12" s="331"/>
      <c r="H12" s="566" t="s">
        <v>650</v>
      </c>
      <c r="I12" s="550"/>
      <c r="K12" s="332"/>
    </row>
    <row r="13" spans="1:11" ht="18" customHeight="1" x14ac:dyDescent="0.25">
      <c r="A13" s="191"/>
      <c r="B13" s="328"/>
      <c r="C13" s="328"/>
      <c r="D13" s="329"/>
      <c r="E13" s="329"/>
      <c r="F13" s="327" t="s">
        <v>648</v>
      </c>
      <c r="G13" s="226">
        <v>0.01</v>
      </c>
      <c r="H13" s="327" t="s">
        <v>649</v>
      </c>
      <c r="I13" s="226">
        <v>0.01</v>
      </c>
    </row>
    <row r="14" spans="1:11" ht="18" customHeight="1" x14ac:dyDescent="0.25">
      <c r="B14" s="533" t="s">
        <v>2</v>
      </c>
      <c r="C14" s="534"/>
      <c r="D14" s="189">
        <v>9.81</v>
      </c>
      <c r="E14" s="110" t="s">
        <v>645</v>
      </c>
      <c r="F14" s="306"/>
      <c r="G14" s="307"/>
      <c r="H14" s="195"/>
      <c r="I14"/>
    </row>
    <row r="15" spans="1:11" ht="10.5" customHeight="1" x14ac:dyDescent="0.25">
      <c r="B15"/>
      <c r="G15"/>
      <c r="H15"/>
      <c r="I15"/>
    </row>
    <row r="16" spans="1:11" s="8" customFormat="1" ht="26.25" x14ac:dyDescent="0.3">
      <c r="B16" s="629" t="s">
        <v>642</v>
      </c>
      <c r="C16" s="630"/>
      <c r="D16" s="630"/>
      <c r="E16" s="689">
        <f>D11*D14</f>
        <v>9.810000000000001E-4</v>
      </c>
      <c r="F16" s="689"/>
      <c r="G16" s="689"/>
      <c r="H16" s="630" t="s">
        <v>644</v>
      </c>
      <c r="I16" s="632"/>
    </row>
    <row r="17" spans="2:9" ht="10.5" customHeight="1" x14ac:dyDescent="0.25">
      <c r="E17" s="303"/>
      <c r="F17" s="303"/>
      <c r="G17" s="303"/>
    </row>
    <row r="18" spans="2:9" s="8" customFormat="1" ht="26.25" x14ac:dyDescent="0.3">
      <c r="B18" s="629" t="s">
        <v>646</v>
      </c>
      <c r="C18" s="630"/>
      <c r="D18" s="630"/>
      <c r="E18" s="631">
        <f>E16/D12</f>
        <v>9.81</v>
      </c>
      <c r="F18" s="631"/>
      <c r="G18" s="631"/>
      <c r="H18" s="630" t="s">
        <v>11</v>
      </c>
      <c r="I18" s="632"/>
    </row>
    <row r="19" spans="2:9" ht="29.25" customHeight="1" x14ac:dyDescent="0.25">
      <c r="E19" s="689">
        <f>E18/1000000</f>
        <v>9.8100000000000009E-6</v>
      </c>
      <c r="F19" s="689"/>
      <c r="G19" s="689"/>
      <c r="H19" s="630" t="s">
        <v>647</v>
      </c>
      <c r="I19" s="632"/>
    </row>
  </sheetData>
  <mergeCells count="19">
    <mergeCell ref="C8:G8"/>
    <mergeCell ref="H12:I12"/>
    <mergeCell ref="A1:I1"/>
    <mergeCell ref="B3:H3"/>
    <mergeCell ref="B5:H5"/>
    <mergeCell ref="C6:G6"/>
    <mergeCell ref="C7:G7"/>
    <mergeCell ref="B16:D16"/>
    <mergeCell ref="E16:G16"/>
    <mergeCell ref="H16:I16"/>
    <mergeCell ref="B14:C14"/>
    <mergeCell ref="C9:G9"/>
    <mergeCell ref="B11:C11"/>
    <mergeCell ref="B12:C12"/>
    <mergeCell ref="B18:D18"/>
    <mergeCell ref="E18:G18"/>
    <mergeCell ref="H18:I18"/>
    <mergeCell ref="E19:G19"/>
    <mergeCell ref="H19:I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7" sqref="E17:G17"/>
    </sheetView>
  </sheetViews>
  <sheetFormatPr defaultRowHeight="15" x14ac:dyDescent="0.25"/>
  <cols>
    <col min="1" max="9" width="9.140625" style="115"/>
    <col min="11" max="11" width="10.5703125" bestFit="1" customWidth="1"/>
  </cols>
  <sheetData>
    <row r="1" spans="1:11" ht="34.5" thickBot="1" x14ac:dyDescent="0.3">
      <c r="A1" s="525" t="s">
        <v>662</v>
      </c>
      <c r="B1" s="526"/>
      <c r="C1" s="526"/>
      <c r="D1" s="526"/>
      <c r="E1" s="526"/>
      <c r="F1" s="526"/>
      <c r="G1" s="526"/>
      <c r="H1" s="526"/>
      <c r="I1" s="527"/>
    </row>
    <row r="2" spans="1:11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11" ht="26.25" x14ac:dyDescent="0.25">
      <c r="A3" s="191" t="s">
        <v>0</v>
      </c>
      <c r="B3" s="624" t="s">
        <v>663</v>
      </c>
      <c r="C3" s="625"/>
      <c r="D3" s="625"/>
      <c r="E3" s="625"/>
      <c r="F3" s="625"/>
      <c r="G3" s="625"/>
      <c r="H3" s="626"/>
    </row>
    <row r="4" spans="1:11" s="102" customFormat="1" ht="11.25" customHeight="1" x14ac:dyDescent="0.25">
      <c r="A4" s="300"/>
      <c r="B4" s="364"/>
      <c r="C4" s="364"/>
      <c r="D4" s="364"/>
      <c r="E4" s="364"/>
      <c r="F4" s="364"/>
      <c r="G4" s="364"/>
      <c r="H4" s="364"/>
      <c r="I4" s="302"/>
    </row>
    <row r="5" spans="1:11" ht="18" customHeight="1" x14ac:dyDescent="0.25">
      <c r="B5" s="383" t="s">
        <v>664</v>
      </c>
      <c r="C5" s="695" t="s">
        <v>665</v>
      </c>
      <c r="D5" s="695"/>
      <c r="E5" s="695"/>
      <c r="F5" s="695"/>
      <c r="G5" s="695"/>
      <c r="H5" s="258" t="s">
        <v>175</v>
      </c>
    </row>
    <row r="6" spans="1:11" ht="18" customHeight="1" x14ac:dyDescent="0.25">
      <c r="B6" s="337" t="s">
        <v>666</v>
      </c>
      <c r="C6" s="540" t="s">
        <v>667</v>
      </c>
      <c r="D6" s="540"/>
      <c r="E6" s="540"/>
      <c r="F6" s="540"/>
      <c r="G6" s="540"/>
      <c r="H6" s="115" t="s">
        <v>3</v>
      </c>
    </row>
    <row r="7" spans="1:11" ht="18" customHeight="1" x14ac:dyDescent="0.25">
      <c r="B7" s="67" t="s">
        <v>668</v>
      </c>
      <c r="C7" s="540" t="s">
        <v>669</v>
      </c>
      <c r="D7" s="540"/>
      <c r="E7" s="540"/>
      <c r="F7" s="540"/>
      <c r="G7" s="540"/>
      <c r="H7" s="115" t="s">
        <v>670</v>
      </c>
    </row>
    <row r="8" spans="1:11" ht="18" customHeight="1" x14ac:dyDescent="0.25">
      <c r="B8" s="343" t="s">
        <v>671</v>
      </c>
      <c r="C8" s="699" t="s">
        <v>672</v>
      </c>
      <c r="D8" s="634"/>
      <c r="E8" s="634"/>
      <c r="F8" s="634"/>
      <c r="G8" s="634"/>
      <c r="H8" s="115" t="s">
        <v>186</v>
      </c>
    </row>
    <row r="9" spans="1:11" ht="10.5" customHeight="1" x14ac:dyDescent="0.25"/>
    <row r="10" spans="1:11" ht="18" customHeight="1" x14ac:dyDescent="0.25">
      <c r="A10" s="191" t="s">
        <v>212</v>
      </c>
      <c r="B10" s="529" t="s">
        <v>666</v>
      </c>
      <c r="C10" s="529"/>
      <c r="D10" s="109">
        <v>1</v>
      </c>
      <c r="E10" s="110" t="s">
        <v>3</v>
      </c>
      <c r="F10" s="345"/>
      <c r="G10" s="195"/>
    </row>
    <row r="11" spans="1:11" ht="18" customHeight="1" x14ac:dyDescent="0.25">
      <c r="A11" s="191"/>
      <c r="B11" s="533" t="s">
        <v>673</v>
      </c>
      <c r="C11" s="568"/>
      <c r="D11" s="344">
        <v>20</v>
      </c>
      <c r="E11" s="330" t="s">
        <v>10</v>
      </c>
      <c r="F11" s="346"/>
      <c r="G11" s="347"/>
      <c r="H11" s="693"/>
      <c r="I11" s="693"/>
      <c r="K11" s="332"/>
    </row>
    <row r="12" spans="1:11" ht="18" customHeight="1" x14ac:dyDescent="0.25">
      <c r="A12" s="191"/>
      <c r="B12" s="696" t="s">
        <v>674</v>
      </c>
      <c r="C12" s="697"/>
      <c r="D12" s="109">
        <v>200</v>
      </c>
      <c r="E12" s="329" t="s">
        <v>10</v>
      </c>
      <c r="F12" s="698" t="s">
        <v>675</v>
      </c>
      <c r="G12" s="693"/>
      <c r="H12" s="244"/>
      <c r="I12" s="244"/>
    </row>
    <row r="13" spans="1:11" ht="18" customHeight="1" x14ac:dyDescent="0.25">
      <c r="B13" s="694" t="s">
        <v>676</v>
      </c>
      <c r="C13" s="534"/>
      <c r="D13" s="348">
        <v>1.2E-2</v>
      </c>
      <c r="E13" s="110" t="s">
        <v>670</v>
      </c>
      <c r="F13" s="349" t="s">
        <v>677</v>
      </c>
      <c r="G13" s="307">
        <v>1.2E-2</v>
      </c>
      <c r="H13" s="195"/>
      <c r="I13"/>
    </row>
    <row r="14" spans="1:11" ht="18" customHeight="1" x14ac:dyDescent="0.25">
      <c r="B14" s="70"/>
      <c r="C14" s="338"/>
      <c r="D14" s="307"/>
      <c r="E14" s="258"/>
      <c r="F14" s="350" t="s">
        <v>678</v>
      </c>
      <c r="G14" s="307">
        <v>2.3800000000000002E-2</v>
      </c>
      <c r="H14" s="195"/>
      <c r="I14"/>
    </row>
    <row r="15" spans="1:11" ht="18" customHeight="1" x14ac:dyDescent="0.25">
      <c r="B15" s="70"/>
      <c r="C15" s="338"/>
      <c r="D15" s="307"/>
      <c r="E15" s="258"/>
      <c r="F15" s="350" t="s">
        <v>679</v>
      </c>
      <c r="G15" s="307">
        <v>0.15</v>
      </c>
      <c r="H15" s="195"/>
      <c r="I15"/>
    </row>
    <row r="16" spans="1:11" ht="10.5" customHeight="1" x14ac:dyDescent="0.25">
      <c r="B16"/>
      <c r="G16"/>
      <c r="H16"/>
      <c r="I16"/>
    </row>
    <row r="17" spans="2:9" s="8" customFormat="1" ht="26.25" x14ac:dyDescent="0.3">
      <c r="B17" s="691" t="s">
        <v>680</v>
      </c>
      <c r="C17" s="630"/>
      <c r="D17" s="630"/>
      <c r="E17" s="692">
        <f>D10*D13*(D12-D11)</f>
        <v>2.16</v>
      </c>
      <c r="F17" s="692"/>
      <c r="G17" s="692"/>
      <c r="H17" s="630" t="s">
        <v>175</v>
      </c>
      <c r="I17" s="632"/>
    </row>
    <row r="18" spans="2:9" ht="29.25" customHeight="1" x14ac:dyDescent="0.25">
      <c r="E18" s="689">
        <f>E17/1000</f>
        <v>2.16E-3</v>
      </c>
      <c r="F18" s="689"/>
      <c r="G18" s="689"/>
      <c r="H18" s="630" t="s">
        <v>3</v>
      </c>
      <c r="I18" s="632"/>
    </row>
  </sheetData>
  <mergeCells count="17">
    <mergeCell ref="H11:I11"/>
    <mergeCell ref="B13:C13"/>
    <mergeCell ref="A1:I1"/>
    <mergeCell ref="B3:H3"/>
    <mergeCell ref="C5:G5"/>
    <mergeCell ref="C6:G6"/>
    <mergeCell ref="C7:G7"/>
    <mergeCell ref="B12:C12"/>
    <mergeCell ref="F12:G12"/>
    <mergeCell ref="C8:G8"/>
    <mergeCell ref="B10:C10"/>
    <mergeCell ref="B11:C11"/>
    <mergeCell ref="B17:D17"/>
    <mergeCell ref="E17:G17"/>
    <mergeCell ref="H17:I17"/>
    <mergeCell ref="E18:G18"/>
    <mergeCell ref="H18:I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18" sqref="D18"/>
    </sheetView>
  </sheetViews>
  <sheetFormatPr defaultRowHeight="15" x14ac:dyDescent="0.25"/>
  <cols>
    <col min="1" max="9" width="9.140625" style="115"/>
    <col min="11" max="11" width="10.5703125" bestFit="1" customWidth="1"/>
  </cols>
  <sheetData>
    <row r="1" spans="1:11" ht="34.5" thickBot="1" x14ac:dyDescent="0.3">
      <c r="A1" s="525" t="s">
        <v>723</v>
      </c>
      <c r="B1" s="526"/>
      <c r="C1" s="526"/>
      <c r="D1" s="526"/>
      <c r="E1" s="526"/>
      <c r="F1" s="526"/>
      <c r="G1" s="526"/>
      <c r="H1" s="526"/>
      <c r="I1" s="527"/>
    </row>
    <row r="2" spans="1:11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11" ht="18" customHeight="1" x14ac:dyDescent="0.25">
      <c r="A3" s="576" t="s">
        <v>725</v>
      </c>
      <c r="B3" s="577"/>
      <c r="C3" s="577"/>
      <c r="D3" s="577"/>
      <c r="E3" s="577"/>
      <c r="F3" s="577"/>
      <c r="G3" s="577"/>
      <c r="H3" s="577"/>
      <c r="I3" s="578"/>
    </row>
    <row r="4" spans="1:11" ht="10.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11" ht="26.25" x14ac:dyDescent="0.25">
      <c r="A5" s="191" t="s">
        <v>0</v>
      </c>
      <c r="B5" s="624" t="s">
        <v>724</v>
      </c>
      <c r="C5" s="625"/>
      <c r="D5" s="625"/>
      <c r="E5" s="625"/>
      <c r="F5" s="625"/>
      <c r="G5" s="625"/>
      <c r="H5" s="626"/>
    </row>
    <row r="6" spans="1:11" s="102" customFormat="1" ht="11.25" customHeight="1" x14ac:dyDescent="0.25">
      <c r="A6" s="300"/>
      <c r="B6" s="364"/>
      <c r="C6" s="364"/>
      <c r="D6" s="364"/>
      <c r="E6" s="364"/>
      <c r="F6" s="364"/>
      <c r="G6" s="364"/>
      <c r="H6" s="364"/>
      <c r="I6" s="302"/>
    </row>
    <row r="7" spans="1:11" ht="18" customHeight="1" x14ac:dyDescent="0.25">
      <c r="A7" s="576" t="s">
        <v>726</v>
      </c>
      <c r="B7" s="577"/>
      <c r="C7" s="577"/>
      <c r="D7" s="577"/>
      <c r="E7" s="577"/>
      <c r="F7" s="577"/>
      <c r="G7" s="577"/>
      <c r="H7" s="577"/>
      <c r="I7" s="578"/>
    </row>
    <row r="8" spans="1:11" ht="10.5" customHeight="1" x14ac:dyDescent="0.25">
      <c r="A8" s="163"/>
      <c r="B8" s="163"/>
      <c r="C8" s="163"/>
      <c r="D8" s="163"/>
      <c r="E8" s="163"/>
      <c r="F8" s="163"/>
      <c r="G8" s="163"/>
      <c r="H8" s="163"/>
      <c r="I8" s="163"/>
    </row>
    <row r="9" spans="1:11" ht="26.25" x14ac:dyDescent="0.25">
      <c r="A9" s="191" t="s">
        <v>0</v>
      </c>
      <c r="B9" s="624" t="s">
        <v>727</v>
      </c>
      <c r="C9" s="625"/>
      <c r="D9" s="625"/>
      <c r="E9" s="625"/>
      <c r="F9" s="625"/>
      <c r="G9" s="625"/>
      <c r="H9" s="626"/>
    </row>
    <row r="10" spans="1:11" ht="11.25" customHeight="1" x14ac:dyDescent="0.25">
      <c r="A10" s="191"/>
      <c r="B10" s="260"/>
      <c r="C10" s="260"/>
      <c r="D10" s="260"/>
      <c r="E10" s="260"/>
      <c r="F10" s="260"/>
      <c r="G10" s="260"/>
      <c r="H10" s="260"/>
    </row>
    <row r="11" spans="1:11" ht="18" customHeight="1" x14ac:dyDescent="0.25">
      <c r="B11" s="384" t="s">
        <v>728</v>
      </c>
      <c r="C11" s="695" t="s">
        <v>729</v>
      </c>
      <c r="D11" s="695"/>
      <c r="E11" s="695"/>
      <c r="F11" s="695"/>
      <c r="G11" s="695"/>
      <c r="H11" s="258" t="s">
        <v>175</v>
      </c>
    </row>
    <row r="12" spans="1:11" ht="18" customHeight="1" x14ac:dyDescent="0.25">
      <c r="B12" s="360" t="s">
        <v>730</v>
      </c>
      <c r="C12" s="540" t="s">
        <v>731</v>
      </c>
      <c r="D12" s="540"/>
      <c r="E12" s="540"/>
      <c r="F12" s="540"/>
      <c r="G12" s="540"/>
      <c r="H12" s="115" t="s">
        <v>175</v>
      </c>
    </row>
    <row r="13" spans="1:11" ht="18" customHeight="1" x14ac:dyDescent="0.25">
      <c r="B13" s="67" t="s">
        <v>732</v>
      </c>
      <c r="C13" s="540" t="s">
        <v>733</v>
      </c>
      <c r="D13" s="540"/>
      <c r="E13" s="540"/>
      <c r="F13" s="540"/>
      <c r="G13" s="540"/>
      <c r="H13" s="115" t="s">
        <v>175</v>
      </c>
    </row>
    <row r="14" spans="1:11" ht="10.5" customHeight="1" x14ac:dyDescent="0.25"/>
    <row r="15" spans="1:11" ht="18" customHeight="1" x14ac:dyDescent="0.25">
      <c r="A15" s="191" t="s">
        <v>212</v>
      </c>
      <c r="B15" s="529" t="s">
        <v>734</v>
      </c>
      <c r="C15" s="529"/>
      <c r="D15" s="385"/>
      <c r="E15" s="110" t="s">
        <v>175</v>
      </c>
      <c r="F15" s="345"/>
      <c r="G15" s="195"/>
    </row>
    <row r="16" spans="1:11" ht="18" customHeight="1" x14ac:dyDescent="0.25">
      <c r="A16" s="191"/>
      <c r="B16" s="533" t="s">
        <v>730</v>
      </c>
      <c r="C16" s="568"/>
      <c r="D16" s="385">
        <v>220</v>
      </c>
      <c r="E16" s="330" t="s">
        <v>175</v>
      </c>
      <c r="F16" s="363"/>
      <c r="G16" s="347"/>
      <c r="H16" s="693"/>
      <c r="I16" s="693"/>
      <c r="K16" s="332"/>
    </row>
    <row r="17" spans="1:9" ht="18" customHeight="1" x14ac:dyDescent="0.25">
      <c r="A17" s="191"/>
      <c r="B17" s="696" t="s">
        <v>732</v>
      </c>
      <c r="C17" s="697"/>
      <c r="D17" s="385">
        <v>310</v>
      </c>
      <c r="E17" s="329" t="s">
        <v>175</v>
      </c>
      <c r="F17" s="698"/>
      <c r="G17" s="693"/>
      <c r="H17" s="362"/>
      <c r="I17" s="362"/>
    </row>
    <row r="18" spans="1:9" ht="18" customHeight="1" x14ac:dyDescent="0.25">
      <c r="B18" s="70"/>
      <c r="C18" s="361"/>
      <c r="D18" s="307"/>
      <c r="E18" s="258"/>
      <c r="F18" s="350"/>
      <c r="G18" s="307"/>
      <c r="H18" s="195"/>
      <c r="I18"/>
    </row>
    <row r="19" spans="1:9" ht="17.25" customHeight="1" x14ac:dyDescent="0.25">
      <c r="B19" s="70"/>
      <c r="C19" s="361"/>
      <c r="D19" s="307"/>
      <c r="E19" s="700" t="s">
        <v>735</v>
      </c>
      <c r="F19" s="700"/>
      <c r="G19" s="700"/>
      <c r="H19" s="700"/>
      <c r="I19" s="700"/>
    </row>
    <row r="20" spans="1:9" s="8" customFormat="1" ht="26.25" x14ac:dyDescent="0.3">
      <c r="B20" s="691" t="s">
        <v>734</v>
      </c>
      <c r="C20" s="630"/>
      <c r="D20" s="630"/>
      <c r="E20" s="692">
        <f>(2*D16*D17)/(D16+D17)</f>
        <v>257.35849056603774</v>
      </c>
      <c r="F20" s="692"/>
      <c r="G20" s="692"/>
      <c r="H20" s="630" t="s">
        <v>175</v>
      </c>
      <c r="I20" s="632"/>
    </row>
    <row r="21" spans="1:9" s="386" customFormat="1" ht="18" customHeight="1" x14ac:dyDescent="0.3">
      <c r="B21" s="260"/>
      <c r="C21" s="250"/>
      <c r="D21" s="250"/>
      <c r="E21" s="701" t="s">
        <v>736</v>
      </c>
      <c r="F21" s="701"/>
      <c r="G21" s="701"/>
      <c r="H21" s="701"/>
      <c r="I21" s="702"/>
    </row>
    <row r="22" spans="1:9" ht="29.25" customHeight="1" x14ac:dyDescent="0.25">
      <c r="E22" s="692">
        <f>1.128*SQRT(D16*D17)</f>
        <v>294.57866317844537</v>
      </c>
      <c r="F22" s="692"/>
      <c r="G22" s="692"/>
      <c r="H22" s="630" t="s">
        <v>175</v>
      </c>
      <c r="I22" s="632"/>
    </row>
    <row r="24" spans="1:9" ht="17.25" customHeight="1" x14ac:dyDescent="0.25">
      <c r="B24" s="70"/>
      <c r="C24" s="361"/>
      <c r="D24" s="307"/>
      <c r="E24" s="700" t="s">
        <v>735</v>
      </c>
      <c r="F24" s="700"/>
      <c r="G24" s="700"/>
      <c r="H24" s="700"/>
      <c r="I24" s="700"/>
    </row>
    <row r="25" spans="1:9" s="8" customFormat="1" ht="26.25" x14ac:dyDescent="0.3">
      <c r="B25" s="691" t="s">
        <v>730</v>
      </c>
      <c r="C25" s="630"/>
      <c r="D25" s="630"/>
      <c r="E25" s="692">
        <f>D15</f>
        <v>0</v>
      </c>
      <c r="F25" s="692"/>
      <c r="G25" s="692"/>
      <c r="H25" s="630" t="s">
        <v>175</v>
      </c>
      <c r="I25" s="632"/>
    </row>
    <row r="26" spans="1:9" s="386" customFormat="1" ht="18" customHeight="1" x14ac:dyDescent="0.3">
      <c r="B26" s="260"/>
      <c r="C26" s="250"/>
      <c r="D26" s="250"/>
      <c r="E26" s="701" t="s">
        <v>736</v>
      </c>
      <c r="F26" s="701"/>
      <c r="G26" s="701"/>
      <c r="H26" s="701"/>
      <c r="I26" s="702"/>
    </row>
    <row r="27" spans="1:9" ht="29.25" customHeight="1" x14ac:dyDescent="0.25">
      <c r="E27" s="692">
        <f>D15/1.128</f>
        <v>0</v>
      </c>
      <c r="F27" s="692"/>
      <c r="G27" s="692"/>
      <c r="H27" s="630" t="s">
        <v>175</v>
      </c>
      <c r="I27" s="632"/>
    </row>
    <row r="29" spans="1:9" ht="17.25" customHeight="1" x14ac:dyDescent="0.25">
      <c r="B29" s="70"/>
      <c r="C29" s="361"/>
      <c r="D29" s="307"/>
      <c r="E29" s="700" t="s">
        <v>640</v>
      </c>
      <c r="F29" s="700"/>
      <c r="G29" s="700"/>
      <c r="H29" s="700"/>
      <c r="I29" s="700"/>
    </row>
    <row r="30" spans="1:9" s="8" customFormat="1" ht="26.25" x14ac:dyDescent="0.3">
      <c r="B30" s="691" t="s">
        <v>207</v>
      </c>
      <c r="C30" s="630"/>
      <c r="D30" s="630"/>
      <c r="E30" s="689">
        <f>IF(D15="",(D16*D17)/1000000,PI()*POWER((D15/1000)/2,2))</f>
        <v>6.8199999999999997E-2</v>
      </c>
      <c r="F30" s="689"/>
      <c r="G30" s="689"/>
      <c r="H30" s="630" t="s">
        <v>163</v>
      </c>
      <c r="I30" s="632"/>
    </row>
  </sheetData>
  <mergeCells count="31">
    <mergeCell ref="A1:I1"/>
    <mergeCell ref="B5:H5"/>
    <mergeCell ref="C11:G11"/>
    <mergeCell ref="C12:G12"/>
    <mergeCell ref="C13:G13"/>
    <mergeCell ref="A3:I3"/>
    <mergeCell ref="A7:I7"/>
    <mergeCell ref="B9:H9"/>
    <mergeCell ref="E19:I19"/>
    <mergeCell ref="E21:I21"/>
    <mergeCell ref="B15:C15"/>
    <mergeCell ref="B16:C16"/>
    <mergeCell ref="H16:I16"/>
    <mergeCell ref="B17:C17"/>
    <mergeCell ref="F17:G17"/>
    <mergeCell ref="B20:D20"/>
    <mergeCell ref="E20:G20"/>
    <mergeCell ref="H20:I20"/>
    <mergeCell ref="E22:G22"/>
    <mergeCell ref="H22:I22"/>
    <mergeCell ref="E29:I29"/>
    <mergeCell ref="B30:D30"/>
    <mergeCell ref="E30:G30"/>
    <mergeCell ref="H30:I30"/>
    <mergeCell ref="E24:I24"/>
    <mergeCell ref="B25:D25"/>
    <mergeCell ref="E25:G25"/>
    <mergeCell ref="H25:I25"/>
    <mergeCell ref="E26:I26"/>
    <mergeCell ref="E27:G27"/>
    <mergeCell ref="H27:I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workbookViewId="0">
      <selection activeCell="I23" sqref="I23"/>
    </sheetView>
  </sheetViews>
  <sheetFormatPr defaultRowHeight="15" x14ac:dyDescent="0.25"/>
  <cols>
    <col min="1" max="30" width="2.85546875" style="389" customWidth="1"/>
    <col min="31" max="66" width="2.85546875" customWidth="1"/>
  </cols>
  <sheetData>
    <row r="1" spans="1:30" ht="39.75" customHeight="1" thickBot="1" x14ac:dyDescent="0.3">
      <c r="A1" s="720" t="s">
        <v>752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2"/>
    </row>
    <row r="2" spans="1:30" ht="15.75" thickBot="1" x14ac:dyDescent="0.3"/>
    <row r="3" spans="1:30" x14ac:dyDescent="0.25">
      <c r="A3" s="723"/>
      <c r="B3" s="724"/>
      <c r="C3" s="724"/>
      <c r="D3" s="403"/>
      <c r="E3" s="724" t="s">
        <v>44</v>
      </c>
      <c r="F3" s="724"/>
      <c r="G3" s="724"/>
      <c r="H3" s="724"/>
      <c r="I3" s="724"/>
      <c r="J3" s="724"/>
      <c r="K3" s="724"/>
      <c r="L3" s="724"/>
      <c r="M3" s="724"/>
      <c r="N3" s="724" t="s">
        <v>755</v>
      </c>
      <c r="O3" s="724"/>
      <c r="P3" s="724"/>
      <c r="Q3" s="724"/>
      <c r="R3" s="724"/>
      <c r="S3" s="724" t="s">
        <v>760</v>
      </c>
      <c r="T3" s="724"/>
      <c r="U3" s="724"/>
      <c r="V3" s="724"/>
      <c r="W3" s="724"/>
      <c r="X3" s="724"/>
      <c r="Y3" s="724"/>
      <c r="Z3" s="403"/>
      <c r="AA3" s="403"/>
      <c r="AB3" s="403"/>
      <c r="AC3" s="403"/>
      <c r="AD3" s="404"/>
    </row>
    <row r="4" spans="1:30" ht="4.5" customHeight="1" x14ac:dyDescent="0.25">
      <c r="A4" s="405"/>
      <c r="B4" s="406"/>
      <c r="C4" s="406"/>
      <c r="D4" s="407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7"/>
      <c r="AA4" s="407"/>
      <c r="AB4" s="407"/>
      <c r="AC4" s="407"/>
      <c r="AD4" s="408"/>
    </row>
    <row r="5" spans="1:30" x14ac:dyDescent="0.25">
      <c r="A5" s="716" t="s">
        <v>753</v>
      </c>
      <c r="B5" s="717"/>
      <c r="C5" s="717"/>
      <c r="D5" s="718"/>
      <c r="E5" s="704" t="s">
        <v>754</v>
      </c>
      <c r="F5" s="705"/>
      <c r="G5" s="705"/>
      <c r="H5" s="705"/>
      <c r="I5" s="705"/>
      <c r="J5" s="705"/>
      <c r="K5" s="705"/>
      <c r="L5" s="705"/>
      <c r="M5" s="715"/>
      <c r="N5" s="725">
        <v>0.02</v>
      </c>
      <c r="O5" s="726"/>
      <c r="P5" s="726"/>
      <c r="Q5" s="730" t="s">
        <v>3</v>
      </c>
      <c r="R5" s="731"/>
      <c r="S5" s="712" t="s">
        <v>592</v>
      </c>
      <c r="T5" s="713"/>
      <c r="U5" s="713">
        <v>0.01</v>
      </c>
      <c r="V5" s="713"/>
      <c r="W5" s="713"/>
      <c r="X5" s="728" t="s">
        <v>13</v>
      </c>
      <c r="Y5" s="728"/>
      <c r="Z5" s="728"/>
      <c r="AA5" s="729"/>
      <c r="AB5" s="407"/>
      <c r="AC5" s="407"/>
      <c r="AD5" s="408"/>
    </row>
    <row r="6" spans="1:30" x14ac:dyDescent="0.25">
      <c r="A6" s="409"/>
      <c r="B6" s="704" t="s">
        <v>759</v>
      </c>
      <c r="C6" s="705"/>
      <c r="D6" s="715"/>
      <c r="E6" s="732" t="s">
        <v>784</v>
      </c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9"/>
      <c r="Q6" s="732" t="s">
        <v>764</v>
      </c>
      <c r="R6" s="728"/>
      <c r="S6" s="728"/>
      <c r="T6" s="728"/>
      <c r="U6" s="728"/>
      <c r="V6" s="728"/>
      <c r="W6" s="728"/>
      <c r="X6" s="728"/>
      <c r="Y6" s="728"/>
      <c r="Z6" s="728"/>
      <c r="AA6" s="728"/>
      <c r="AB6" s="728"/>
      <c r="AC6" s="728"/>
      <c r="AD6" s="733"/>
    </row>
    <row r="7" spans="1:30" ht="3.75" customHeight="1" x14ac:dyDescent="0.25">
      <c r="A7" s="409"/>
      <c r="B7" s="392"/>
      <c r="C7" s="392"/>
      <c r="D7" s="393"/>
      <c r="E7" s="396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4"/>
      <c r="T7" s="394"/>
      <c r="U7" s="394"/>
      <c r="V7" s="394"/>
      <c r="W7" s="394"/>
      <c r="X7" s="394"/>
      <c r="Y7" s="394"/>
      <c r="Z7" s="394"/>
      <c r="AA7" s="395"/>
      <c r="AB7" s="395"/>
      <c r="AC7" s="395"/>
      <c r="AD7" s="410"/>
    </row>
    <row r="8" spans="1:30" x14ac:dyDescent="0.25">
      <c r="A8" s="716" t="s">
        <v>761</v>
      </c>
      <c r="B8" s="717"/>
      <c r="C8" s="717"/>
      <c r="D8" s="718"/>
      <c r="E8" s="704" t="s">
        <v>756</v>
      </c>
      <c r="F8" s="705"/>
      <c r="G8" s="705"/>
      <c r="H8" s="705"/>
      <c r="I8" s="705"/>
      <c r="J8" s="705"/>
      <c r="K8" s="705"/>
      <c r="L8" s="705"/>
      <c r="M8" s="715"/>
      <c r="N8" s="725">
        <v>0.03</v>
      </c>
      <c r="O8" s="726"/>
      <c r="P8" s="726"/>
      <c r="Q8" s="728" t="s">
        <v>3</v>
      </c>
      <c r="R8" s="729"/>
      <c r="S8" s="712" t="s">
        <v>758</v>
      </c>
      <c r="T8" s="713"/>
      <c r="U8" s="713">
        <v>0.11600000000000001</v>
      </c>
      <c r="V8" s="713"/>
      <c r="W8" s="713"/>
      <c r="X8" s="713" t="s">
        <v>22</v>
      </c>
      <c r="Y8" s="713"/>
      <c r="Z8" s="714"/>
      <c r="AA8" s="407"/>
      <c r="AB8" s="407"/>
      <c r="AC8" s="407"/>
      <c r="AD8" s="408"/>
    </row>
    <row r="9" spans="1:30" x14ac:dyDescent="0.25">
      <c r="A9" s="409"/>
      <c r="B9" s="704" t="s">
        <v>759</v>
      </c>
      <c r="C9" s="705"/>
      <c r="D9" s="715"/>
      <c r="E9" s="732" t="s">
        <v>785</v>
      </c>
      <c r="F9" s="728"/>
      <c r="G9" s="728"/>
      <c r="H9" s="728"/>
      <c r="I9" s="728"/>
      <c r="J9" s="728"/>
      <c r="K9" s="728"/>
      <c r="L9" s="728"/>
      <c r="M9" s="728"/>
      <c r="N9" s="728"/>
      <c r="O9" s="728"/>
      <c r="P9" s="729"/>
      <c r="Q9" s="732" t="s">
        <v>786</v>
      </c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733"/>
    </row>
    <row r="10" spans="1:30" ht="4.5" customHeight="1" x14ac:dyDescent="0.25">
      <c r="A10" s="409"/>
      <c r="B10" s="392"/>
      <c r="C10" s="392"/>
      <c r="D10" s="393"/>
      <c r="E10" s="396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4"/>
      <c r="T10" s="394"/>
      <c r="U10" s="394"/>
      <c r="V10" s="394"/>
      <c r="W10" s="394"/>
      <c r="X10" s="394"/>
      <c r="Y10" s="394"/>
      <c r="Z10" s="394"/>
      <c r="AA10" s="395"/>
      <c r="AB10" s="395"/>
      <c r="AC10" s="395"/>
      <c r="AD10" s="410"/>
    </row>
    <row r="11" spans="1:30" x14ac:dyDescent="0.25">
      <c r="A11" s="716" t="s">
        <v>762</v>
      </c>
      <c r="B11" s="717"/>
      <c r="C11" s="717"/>
      <c r="D11" s="718"/>
      <c r="E11" s="704" t="s">
        <v>757</v>
      </c>
      <c r="F11" s="705"/>
      <c r="G11" s="705"/>
      <c r="H11" s="705"/>
      <c r="I11" s="705"/>
      <c r="J11" s="705"/>
      <c r="K11" s="705"/>
      <c r="L11" s="705"/>
      <c r="M11" s="715"/>
      <c r="N11" s="725">
        <v>0.06</v>
      </c>
      <c r="O11" s="726"/>
      <c r="P11" s="726"/>
      <c r="Q11" s="728" t="s">
        <v>3</v>
      </c>
      <c r="R11" s="729"/>
      <c r="S11" s="704" t="s">
        <v>758</v>
      </c>
      <c r="T11" s="705"/>
      <c r="U11" s="705">
        <v>0.5</v>
      </c>
      <c r="V11" s="705"/>
      <c r="W11" s="705" t="s">
        <v>22</v>
      </c>
      <c r="X11" s="705"/>
      <c r="Y11" s="705"/>
      <c r="Z11" s="391"/>
      <c r="AA11" s="407"/>
      <c r="AB11" s="407"/>
      <c r="AC11" s="407"/>
      <c r="AD11" s="408"/>
    </row>
    <row r="12" spans="1:30" x14ac:dyDescent="0.25">
      <c r="A12" s="409"/>
      <c r="B12" s="704" t="s">
        <v>759</v>
      </c>
      <c r="C12" s="705"/>
      <c r="D12" s="715"/>
      <c r="E12" s="732" t="s">
        <v>788</v>
      </c>
      <c r="F12" s="728"/>
      <c r="G12" s="728"/>
      <c r="H12" s="728"/>
      <c r="I12" s="728"/>
      <c r="J12" s="728"/>
      <c r="K12" s="728"/>
      <c r="L12" s="728"/>
      <c r="M12" s="728"/>
      <c r="N12" s="728"/>
      <c r="O12" s="728"/>
      <c r="P12" s="729"/>
      <c r="Q12" s="732" t="s">
        <v>789</v>
      </c>
      <c r="R12" s="728"/>
      <c r="S12" s="728"/>
      <c r="T12" s="728"/>
      <c r="U12" s="728"/>
      <c r="V12" s="728"/>
      <c r="W12" s="728"/>
      <c r="X12" s="728"/>
      <c r="Y12" s="728"/>
      <c r="Z12" s="728"/>
      <c r="AA12" s="728"/>
      <c r="AB12" s="728"/>
      <c r="AC12" s="728"/>
      <c r="AD12" s="733"/>
    </row>
    <row r="13" spans="1:30" ht="4.5" customHeight="1" x14ac:dyDescent="0.25">
      <c r="A13" s="409"/>
      <c r="B13" s="392"/>
      <c r="C13" s="392"/>
      <c r="D13" s="393"/>
      <c r="E13" s="396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4"/>
      <c r="T13" s="394"/>
      <c r="U13" s="394"/>
      <c r="V13" s="394"/>
      <c r="W13" s="394"/>
      <c r="X13" s="394"/>
      <c r="Y13" s="394"/>
      <c r="Z13" s="394"/>
      <c r="AA13" s="395"/>
      <c r="AB13" s="395"/>
      <c r="AC13" s="395"/>
      <c r="AD13" s="410"/>
    </row>
    <row r="14" spans="1:30" x14ac:dyDescent="0.25">
      <c r="A14" s="716" t="s">
        <v>763</v>
      </c>
      <c r="B14" s="717"/>
      <c r="C14" s="717"/>
      <c r="D14" s="718"/>
      <c r="E14" s="704" t="s">
        <v>737</v>
      </c>
      <c r="F14" s="705"/>
      <c r="G14" s="705"/>
      <c r="H14" s="705"/>
      <c r="I14" s="705"/>
      <c r="J14" s="705"/>
      <c r="K14" s="705"/>
      <c r="L14" s="705"/>
      <c r="M14" s="715"/>
      <c r="N14" s="725">
        <v>0</v>
      </c>
      <c r="O14" s="726"/>
      <c r="P14" s="726"/>
      <c r="Q14" s="728" t="s">
        <v>3</v>
      </c>
      <c r="R14" s="729"/>
      <c r="S14" s="704" t="s">
        <v>758</v>
      </c>
      <c r="T14" s="705"/>
      <c r="U14" s="705">
        <v>0</v>
      </c>
      <c r="V14" s="705"/>
      <c r="W14" s="705" t="s">
        <v>22</v>
      </c>
      <c r="X14" s="705"/>
      <c r="Y14" s="705"/>
      <c r="Z14" s="391"/>
      <c r="AA14" s="407"/>
      <c r="AB14" s="407"/>
      <c r="AC14" s="407"/>
      <c r="AD14" s="408"/>
    </row>
    <row r="15" spans="1:30" x14ac:dyDescent="0.25">
      <c r="A15" s="409"/>
      <c r="B15" s="712" t="s">
        <v>759</v>
      </c>
      <c r="C15" s="713"/>
      <c r="D15" s="714"/>
      <c r="E15" s="732"/>
      <c r="F15" s="728"/>
      <c r="G15" s="728"/>
      <c r="H15" s="728"/>
      <c r="I15" s="728"/>
      <c r="J15" s="728"/>
      <c r="K15" s="728"/>
      <c r="L15" s="728"/>
      <c r="M15" s="728"/>
      <c r="N15" s="734"/>
      <c r="O15" s="734"/>
      <c r="P15" s="735"/>
      <c r="Q15" s="732"/>
      <c r="R15" s="728"/>
      <c r="S15" s="728"/>
      <c r="T15" s="728"/>
      <c r="U15" s="728"/>
      <c r="V15" s="728"/>
      <c r="W15" s="728"/>
      <c r="X15" s="728"/>
      <c r="Y15" s="728"/>
      <c r="Z15" s="728"/>
      <c r="AA15" s="728"/>
      <c r="AB15" s="728"/>
      <c r="AC15" s="728"/>
      <c r="AD15" s="733"/>
    </row>
    <row r="16" spans="1:30" x14ac:dyDescent="0.25">
      <c r="A16" s="409"/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8"/>
    </row>
    <row r="17" spans="1:37" ht="18.75" thickBot="1" x14ac:dyDescent="0.3">
      <c r="A17" s="706" t="s">
        <v>765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 t="s">
        <v>787</v>
      </c>
      <c r="Q17" s="707"/>
      <c r="R17" s="707"/>
      <c r="S17" s="707"/>
      <c r="T17" s="707"/>
      <c r="U17" s="707"/>
      <c r="V17" s="707"/>
      <c r="W17" s="707"/>
      <c r="X17" s="707"/>
      <c r="Y17" s="707"/>
      <c r="Z17" s="707"/>
      <c r="AA17" s="707"/>
      <c r="AB17" s="707"/>
      <c r="AC17" s="707"/>
      <c r="AD17" s="708"/>
    </row>
    <row r="18" spans="1:37" ht="15.75" thickBot="1" x14ac:dyDescent="0.3"/>
    <row r="19" spans="1:37" ht="19.5" x14ac:dyDescent="0.25">
      <c r="A19" s="709" t="s">
        <v>12</v>
      </c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1"/>
    </row>
    <row r="20" spans="1:37" ht="4.5" customHeight="1" x14ac:dyDescent="0.25">
      <c r="A20" s="409"/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8"/>
    </row>
    <row r="21" spans="1:37" x14ac:dyDescent="0.25">
      <c r="A21" s="411" t="s">
        <v>766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1"/>
      <c r="R21" s="727"/>
      <c r="S21" s="727"/>
      <c r="T21" s="727"/>
      <c r="U21" s="407"/>
      <c r="Y21" s="727"/>
      <c r="Z21" s="727"/>
      <c r="AA21" s="407"/>
      <c r="AB21" s="407"/>
      <c r="AC21" s="407"/>
      <c r="AD21" s="408"/>
      <c r="AK21" s="5"/>
    </row>
    <row r="22" spans="1:37" x14ac:dyDescent="0.25">
      <c r="A22" s="412"/>
      <c r="B22" s="400"/>
      <c r="C22" s="400"/>
      <c r="D22" s="397"/>
      <c r="E22" s="713" t="s">
        <v>770</v>
      </c>
      <c r="F22" s="713"/>
      <c r="G22" s="713"/>
      <c r="H22" s="713"/>
      <c r="I22" s="713">
        <v>0.38800000000000001</v>
      </c>
      <c r="J22" s="713"/>
      <c r="K22" s="713"/>
      <c r="L22" s="719" t="s">
        <v>13</v>
      </c>
      <c r="M22" s="719"/>
      <c r="N22" s="719"/>
      <c r="O22" s="719"/>
      <c r="P22" s="390"/>
      <c r="Q22" s="401"/>
      <c r="R22" s="727"/>
      <c r="S22" s="727"/>
      <c r="T22" s="727"/>
      <c r="U22" s="407"/>
      <c r="V22" s="407"/>
      <c r="W22" s="407"/>
      <c r="X22" s="407"/>
      <c r="Y22" s="727"/>
      <c r="Z22" s="727"/>
      <c r="AA22" s="407"/>
      <c r="AB22" s="407"/>
      <c r="AC22" s="407"/>
      <c r="AD22" s="408"/>
      <c r="AK22" s="5"/>
    </row>
    <row r="23" spans="1:37" ht="2.25" customHeight="1" x14ac:dyDescent="0.25">
      <c r="A23" s="409"/>
      <c r="B23" s="407"/>
      <c r="C23" s="407"/>
      <c r="D23" s="407"/>
      <c r="E23" s="406"/>
      <c r="F23" s="406"/>
      <c r="G23" s="406"/>
      <c r="H23" s="406"/>
      <c r="I23" s="406"/>
      <c r="J23" s="406"/>
      <c r="K23" s="406"/>
      <c r="L23" s="413"/>
      <c r="M23" s="413"/>
      <c r="N23" s="413"/>
      <c r="O23" s="413"/>
      <c r="P23" s="407"/>
      <c r="Q23" s="407"/>
      <c r="R23" s="406"/>
      <c r="S23" s="406"/>
      <c r="T23" s="406"/>
      <c r="U23" s="407"/>
      <c r="V23" s="407"/>
      <c r="W23" s="407"/>
      <c r="X23" s="407"/>
      <c r="Y23" s="406"/>
      <c r="Z23" s="406"/>
      <c r="AA23" s="407"/>
      <c r="AB23" s="407"/>
      <c r="AC23" s="407"/>
      <c r="AD23" s="408"/>
      <c r="AK23" s="5"/>
    </row>
    <row r="24" spans="1:37" x14ac:dyDescent="0.25">
      <c r="A24" s="411" t="s">
        <v>771</v>
      </c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1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8"/>
    </row>
    <row r="25" spans="1:37" x14ac:dyDescent="0.25">
      <c r="A25" s="412"/>
      <c r="B25" s="400"/>
      <c r="C25" s="400"/>
      <c r="D25" s="397"/>
      <c r="E25" s="713" t="s">
        <v>770</v>
      </c>
      <c r="F25" s="713"/>
      <c r="G25" s="713"/>
      <c r="H25" s="713"/>
      <c r="I25" s="713">
        <v>0.315</v>
      </c>
      <c r="J25" s="713"/>
      <c r="K25" s="713"/>
      <c r="L25" s="719" t="s">
        <v>13</v>
      </c>
      <c r="M25" s="719"/>
      <c r="N25" s="719"/>
      <c r="O25" s="719"/>
      <c r="P25" s="390"/>
      <c r="Q25" s="401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8"/>
    </row>
    <row r="26" spans="1:37" x14ac:dyDescent="0.25">
      <c r="A26" s="409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8"/>
    </row>
    <row r="27" spans="1:37" ht="18.75" thickBot="1" x14ac:dyDescent="0.3">
      <c r="A27" s="706" t="s">
        <v>772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 t="s">
        <v>777</v>
      </c>
      <c r="Q27" s="707"/>
      <c r="R27" s="707"/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</row>
    <row r="28" spans="1:37" ht="15.75" thickBot="1" x14ac:dyDescent="0.3">
      <c r="M28" s="703"/>
      <c r="N28" s="703"/>
    </row>
    <row r="29" spans="1:37" ht="19.5" x14ac:dyDescent="0.25">
      <c r="A29" s="709" t="s">
        <v>773</v>
      </c>
      <c r="B29" s="710"/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1"/>
    </row>
    <row r="30" spans="1:37" ht="4.5" customHeight="1" x14ac:dyDescent="0.25">
      <c r="A30" s="409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8"/>
    </row>
    <row r="31" spans="1:37" x14ac:dyDescent="0.25">
      <c r="A31" s="409" t="s">
        <v>767</v>
      </c>
      <c r="B31" s="407"/>
      <c r="C31" s="407"/>
      <c r="D31" s="407"/>
      <c r="E31" s="397" t="s">
        <v>768</v>
      </c>
      <c r="F31" s="398"/>
      <c r="G31" s="719">
        <v>7.0000000000000007E-2</v>
      </c>
      <c r="H31" s="719"/>
      <c r="I31" s="719"/>
      <c r="J31" s="713" t="s">
        <v>22</v>
      </c>
      <c r="K31" s="713"/>
      <c r="L31" s="714"/>
      <c r="M31" s="407"/>
      <c r="N31" s="397" t="s">
        <v>769</v>
      </c>
      <c r="O31" s="398"/>
      <c r="P31" s="719">
        <v>0.125</v>
      </c>
      <c r="Q31" s="719"/>
      <c r="R31" s="719"/>
      <c r="S31" s="713" t="s">
        <v>22</v>
      </c>
      <c r="T31" s="713"/>
      <c r="U31" s="714"/>
      <c r="V31" s="77"/>
      <c r="W31" s="77"/>
      <c r="X31" s="407"/>
      <c r="Y31" s="407"/>
      <c r="Z31" s="407"/>
      <c r="AA31" s="407"/>
      <c r="AB31" s="407"/>
      <c r="AC31" s="407"/>
      <c r="AD31" s="408"/>
    </row>
    <row r="32" spans="1:37" ht="4.5" customHeight="1" x14ac:dyDescent="0.25">
      <c r="A32" s="409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8"/>
    </row>
    <row r="33" spans="1:54" x14ac:dyDescent="0.25">
      <c r="A33" s="411" t="s">
        <v>774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1"/>
      <c r="R33" s="727"/>
      <c r="S33" s="727"/>
      <c r="T33" s="727"/>
      <c r="U33" s="407"/>
      <c r="V33" s="407"/>
      <c r="W33" s="407"/>
      <c r="X33" s="407"/>
      <c r="Y33" s="727"/>
      <c r="Z33" s="727"/>
      <c r="AA33" s="407"/>
      <c r="AB33" s="407"/>
      <c r="AC33" s="407"/>
      <c r="AD33" s="408"/>
    </row>
    <row r="34" spans="1:54" x14ac:dyDescent="0.25">
      <c r="A34" s="412"/>
      <c r="B34" s="400"/>
      <c r="C34" s="400"/>
      <c r="D34" s="397"/>
      <c r="E34" s="713" t="s">
        <v>775</v>
      </c>
      <c r="F34" s="713"/>
      <c r="G34" s="713"/>
      <c r="H34" s="713"/>
      <c r="I34" s="713">
        <v>395</v>
      </c>
      <c r="J34" s="713"/>
      <c r="K34" s="713"/>
      <c r="L34" s="728" t="s">
        <v>10</v>
      </c>
      <c r="M34" s="728"/>
      <c r="N34" s="728"/>
      <c r="O34" s="728"/>
      <c r="P34" s="390"/>
      <c r="Q34" s="401"/>
      <c r="R34" s="727"/>
      <c r="S34" s="727"/>
      <c r="T34" s="727"/>
      <c r="U34" s="407"/>
      <c r="V34" s="407"/>
      <c r="W34" s="407"/>
      <c r="X34" s="407"/>
      <c r="Y34" s="727"/>
      <c r="Z34" s="727"/>
      <c r="AA34" s="407"/>
      <c r="AB34" s="407"/>
      <c r="AC34" s="407"/>
      <c r="AD34" s="408"/>
    </row>
    <row r="35" spans="1:54" ht="4.5" customHeight="1" x14ac:dyDescent="0.25">
      <c r="A35" s="409"/>
      <c r="B35" s="407"/>
      <c r="C35" s="407"/>
      <c r="D35" s="407"/>
      <c r="E35" s="406"/>
      <c r="F35" s="406"/>
      <c r="G35" s="406"/>
      <c r="H35" s="406"/>
      <c r="I35" s="406"/>
      <c r="J35" s="406"/>
      <c r="K35" s="406"/>
      <c r="L35" s="413"/>
      <c r="M35" s="413"/>
      <c r="N35" s="413"/>
      <c r="O35" s="413"/>
      <c r="P35" s="407"/>
      <c r="Q35" s="407"/>
      <c r="R35" s="406"/>
      <c r="S35" s="406"/>
      <c r="T35" s="406"/>
      <c r="U35" s="407"/>
      <c r="V35" s="407"/>
      <c r="W35" s="407"/>
      <c r="X35" s="407"/>
      <c r="Y35" s="406"/>
      <c r="Z35" s="406"/>
      <c r="AA35" s="407"/>
      <c r="AB35" s="407"/>
      <c r="AC35" s="407"/>
      <c r="AD35" s="408"/>
    </row>
    <row r="36" spans="1:54" x14ac:dyDescent="0.25">
      <c r="A36" s="411" t="s">
        <v>771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1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8"/>
    </row>
    <row r="37" spans="1:54" x14ac:dyDescent="0.25">
      <c r="A37" s="412"/>
      <c r="B37" s="400"/>
      <c r="C37" s="400"/>
      <c r="D37" s="397"/>
      <c r="E37" s="713" t="s">
        <v>775</v>
      </c>
      <c r="F37" s="713"/>
      <c r="G37" s="713"/>
      <c r="H37" s="713"/>
      <c r="I37" s="713">
        <v>520</v>
      </c>
      <c r="J37" s="713"/>
      <c r="K37" s="713"/>
      <c r="L37" s="728" t="s">
        <v>10</v>
      </c>
      <c r="M37" s="728"/>
      <c r="N37" s="728"/>
      <c r="O37" s="728"/>
      <c r="P37" s="390"/>
      <c r="Q37" s="401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8"/>
    </row>
    <row r="38" spans="1:54" x14ac:dyDescent="0.25">
      <c r="A38" s="409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8"/>
    </row>
    <row r="39" spans="1:54" ht="18.75" thickBot="1" x14ac:dyDescent="0.3">
      <c r="A39" s="706" t="s">
        <v>776</v>
      </c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 t="s">
        <v>777</v>
      </c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708"/>
    </row>
    <row r="40" spans="1:54" ht="15.75" thickBot="1" x14ac:dyDescent="0.3"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</row>
    <row r="41" spans="1:54" ht="19.5" x14ac:dyDescent="0.25">
      <c r="A41" s="709" t="s">
        <v>778</v>
      </c>
      <c r="B41" s="710"/>
      <c r="C41" s="710"/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0"/>
      <c r="S41" s="710"/>
      <c r="T41" s="710"/>
      <c r="U41" s="710"/>
      <c r="V41" s="710"/>
      <c r="W41" s="710"/>
      <c r="X41" s="710"/>
      <c r="Y41" s="710"/>
      <c r="Z41" s="710"/>
      <c r="AA41" s="710"/>
      <c r="AB41" s="710"/>
      <c r="AC41" s="710"/>
      <c r="AD41" s="711"/>
    </row>
    <row r="42" spans="1:54" ht="4.5" customHeight="1" x14ac:dyDescent="0.25">
      <c r="A42" s="409"/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8"/>
    </row>
    <row r="43" spans="1:54" x14ac:dyDescent="0.25">
      <c r="A43" s="409" t="s">
        <v>779</v>
      </c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8"/>
    </row>
    <row r="44" spans="1:54" x14ac:dyDescent="0.25">
      <c r="A44" s="409"/>
      <c r="B44" s="407"/>
      <c r="C44" s="397" t="s">
        <v>780</v>
      </c>
      <c r="D44" s="398"/>
      <c r="E44" s="398"/>
      <c r="F44" s="398"/>
      <c r="G44" s="398"/>
      <c r="H44" s="398"/>
      <c r="I44" s="713">
        <f>I34</f>
        <v>395</v>
      </c>
      <c r="J44" s="713"/>
      <c r="K44" s="713"/>
      <c r="L44" s="728" t="s">
        <v>10</v>
      </c>
      <c r="M44" s="729"/>
      <c r="N44" s="407"/>
      <c r="O44" s="712" t="s">
        <v>781</v>
      </c>
      <c r="P44" s="713"/>
      <c r="Q44" s="713"/>
      <c r="R44" s="713"/>
      <c r="S44" s="713">
        <v>50</v>
      </c>
      <c r="T44" s="713"/>
      <c r="U44" s="713" t="s">
        <v>175</v>
      </c>
      <c r="V44" s="714"/>
      <c r="W44" s="407"/>
      <c r="X44" s="406"/>
      <c r="Y44" s="406"/>
      <c r="Z44" s="406"/>
      <c r="AA44" s="395"/>
      <c r="AB44" s="395"/>
      <c r="AC44" s="407"/>
      <c r="AD44" s="408"/>
    </row>
    <row r="45" spans="1:54" x14ac:dyDescent="0.25">
      <c r="A45" s="409"/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8"/>
    </row>
    <row r="46" spans="1:54" ht="18.75" thickBot="1" x14ac:dyDescent="0.3">
      <c r="A46" s="706" t="s">
        <v>782</v>
      </c>
      <c r="B46" s="707"/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 t="s">
        <v>777</v>
      </c>
      <c r="Q46" s="707"/>
      <c r="R46" s="707"/>
      <c r="S46" s="707"/>
      <c r="T46" s="707"/>
      <c r="U46" s="707"/>
      <c r="V46" s="707"/>
      <c r="W46" s="707"/>
      <c r="X46" s="707"/>
      <c r="Y46" s="707"/>
      <c r="Z46" s="707"/>
      <c r="AA46" s="707"/>
      <c r="AB46" s="707"/>
      <c r="AC46" s="707"/>
      <c r="AD46" s="708"/>
    </row>
    <row r="48" spans="1:54" ht="15.75" thickBot="1" x14ac:dyDescent="0.3"/>
    <row r="49" spans="1:30" s="402" customFormat="1" ht="37.5" customHeight="1" thickBot="1" x14ac:dyDescent="0.4">
      <c r="A49" s="736" t="s">
        <v>783</v>
      </c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 t="s">
        <v>777</v>
      </c>
      <c r="O49" s="737"/>
      <c r="P49" s="737"/>
      <c r="Q49" s="737"/>
      <c r="R49" s="737"/>
      <c r="S49" s="737"/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738"/>
    </row>
  </sheetData>
  <mergeCells count="88">
    <mergeCell ref="A49:M49"/>
    <mergeCell ref="N49:AD49"/>
    <mergeCell ref="A46:O46"/>
    <mergeCell ref="P46:AD46"/>
    <mergeCell ref="I44:K44"/>
    <mergeCell ref="L44:M44"/>
    <mergeCell ref="O44:R44"/>
    <mergeCell ref="S44:T44"/>
    <mergeCell ref="U44:V44"/>
    <mergeCell ref="E37:H37"/>
    <mergeCell ref="I37:K37"/>
    <mergeCell ref="L37:O37"/>
    <mergeCell ref="A39:O39"/>
    <mergeCell ref="P39:AD39"/>
    <mergeCell ref="E25:H25"/>
    <mergeCell ref="I25:K25"/>
    <mergeCell ref="L25:O25"/>
    <mergeCell ref="A41:AD41"/>
    <mergeCell ref="A29:AD29"/>
    <mergeCell ref="R33:T33"/>
    <mergeCell ref="Y33:Z33"/>
    <mergeCell ref="E34:H34"/>
    <mergeCell ref="I34:K34"/>
    <mergeCell ref="L34:O34"/>
    <mergeCell ref="R34:T34"/>
    <mergeCell ref="Y34:Z34"/>
    <mergeCell ref="J31:L31"/>
    <mergeCell ref="G31:I31"/>
    <mergeCell ref="P31:R31"/>
    <mergeCell ref="S31:U31"/>
    <mergeCell ref="Q9:AD9"/>
    <mergeCell ref="Q12:AD12"/>
    <mergeCell ref="E15:P15"/>
    <mergeCell ref="Q15:AD15"/>
    <mergeCell ref="E12:P12"/>
    <mergeCell ref="E14:M14"/>
    <mergeCell ref="N14:P14"/>
    <mergeCell ref="S14:T14"/>
    <mergeCell ref="U14:V14"/>
    <mergeCell ref="Q11:R11"/>
    <mergeCell ref="Q14:R14"/>
    <mergeCell ref="B9:D9"/>
    <mergeCell ref="N8:P8"/>
    <mergeCell ref="A8:D8"/>
    <mergeCell ref="A5:D5"/>
    <mergeCell ref="A11:D11"/>
    <mergeCell ref="E11:M11"/>
    <mergeCell ref="N11:P11"/>
    <mergeCell ref="E9:P9"/>
    <mergeCell ref="E6:P6"/>
    <mergeCell ref="E8:M8"/>
    <mergeCell ref="S8:T8"/>
    <mergeCell ref="X8:Z8"/>
    <mergeCell ref="Q5:R5"/>
    <mergeCell ref="Q8:R8"/>
    <mergeCell ref="Q6:AD6"/>
    <mergeCell ref="A1:AD1"/>
    <mergeCell ref="A3:C3"/>
    <mergeCell ref="N5:P5"/>
    <mergeCell ref="R21:T21"/>
    <mergeCell ref="R22:T22"/>
    <mergeCell ref="E3:M3"/>
    <mergeCell ref="E5:M5"/>
    <mergeCell ref="N3:R3"/>
    <mergeCell ref="Y21:Z21"/>
    <mergeCell ref="Y22:Z22"/>
    <mergeCell ref="U5:W5"/>
    <mergeCell ref="X5:AA5"/>
    <mergeCell ref="U8:W8"/>
    <mergeCell ref="S3:Y3"/>
    <mergeCell ref="S5:T5"/>
    <mergeCell ref="B6:D6"/>
    <mergeCell ref="M28:N28"/>
    <mergeCell ref="S11:T11"/>
    <mergeCell ref="U11:V11"/>
    <mergeCell ref="W11:Y11"/>
    <mergeCell ref="W14:Y14"/>
    <mergeCell ref="A27:O27"/>
    <mergeCell ref="P27:AD27"/>
    <mergeCell ref="A19:AD19"/>
    <mergeCell ref="A17:O17"/>
    <mergeCell ref="P17:AD17"/>
    <mergeCell ref="B15:D15"/>
    <mergeCell ref="B12:D12"/>
    <mergeCell ref="A14:D14"/>
    <mergeCell ref="E22:H22"/>
    <mergeCell ref="I22:K22"/>
    <mergeCell ref="L22:O2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workbookViewId="0">
      <selection activeCell="E37" sqref="E37"/>
    </sheetView>
  </sheetViews>
  <sheetFormatPr defaultRowHeight="15" x14ac:dyDescent="0.25"/>
  <cols>
    <col min="1" max="9" width="9.140625" style="11"/>
    <col min="10" max="11" width="9.140625" style="33"/>
    <col min="12" max="12" width="10.5703125" style="33" bestFit="1" customWidth="1"/>
    <col min="13" max="18" width="9.140625" style="33"/>
    <col min="19" max="27" width="9.140625" style="11"/>
    <col min="28" max="35" width="9.140625" style="33"/>
  </cols>
  <sheetData>
    <row r="1" spans="1:27" ht="34.5" thickBot="1" x14ac:dyDescent="0.55000000000000004">
      <c r="A1" s="465" t="s">
        <v>12</v>
      </c>
      <c r="B1" s="466"/>
      <c r="C1" s="466"/>
      <c r="D1" s="466"/>
      <c r="E1" s="466"/>
      <c r="F1" s="466"/>
      <c r="G1" s="466"/>
      <c r="H1" s="466"/>
      <c r="I1" s="467"/>
      <c r="J1" s="449" t="s">
        <v>75</v>
      </c>
      <c r="K1" s="450"/>
      <c r="L1" s="450"/>
      <c r="M1" s="450"/>
      <c r="N1" s="450"/>
      <c r="O1" s="450"/>
      <c r="P1" s="450"/>
      <c r="Q1" s="450"/>
      <c r="R1" s="451"/>
      <c r="S1" s="465" t="s">
        <v>294</v>
      </c>
      <c r="T1" s="466"/>
      <c r="U1" s="466"/>
      <c r="V1" s="466"/>
      <c r="W1" s="466"/>
      <c r="X1" s="466"/>
      <c r="Y1" s="466"/>
      <c r="Z1" s="466"/>
      <c r="AA1" s="467"/>
    </row>
    <row r="2" spans="1:27" ht="15" customHeight="1" thickBot="1" x14ac:dyDescent="0.55000000000000004">
      <c r="A2" s="12"/>
      <c r="B2" s="12"/>
      <c r="C2" s="12"/>
      <c r="D2" s="12"/>
      <c r="E2" s="12"/>
      <c r="F2" s="12"/>
      <c r="G2" s="12"/>
      <c r="H2" s="12"/>
      <c r="I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7" thickBot="1" x14ac:dyDescent="0.45">
      <c r="A3" s="5" t="s">
        <v>0</v>
      </c>
      <c r="B3" s="468" t="s">
        <v>16</v>
      </c>
      <c r="C3" s="469"/>
      <c r="D3" s="469"/>
      <c r="E3" s="469"/>
      <c r="F3" s="469"/>
      <c r="G3" s="470"/>
      <c r="I3" s="11" t="s">
        <v>13</v>
      </c>
      <c r="J3" s="33" t="s">
        <v>0</v>
      </c>
      <c r="K3" s="452" t="s">
        <v>64</v>
      </c>
      <c r="L3" s="453"/>
      <c r="M3" s="453"/>
      <c r="N3" s="453"/>
      <c r="O3" s="453"/>
      <c r="P3" s="454"/>
      <c r="R3" s="33" t="s">
        <v>13</v>
      </c>
      <c r="S3" s="5" t="s">
        <v>0</v>
      </c>
      <c r="T3" s="468" t="s">
        <v>295</v>
      </c>
      <c r="U3" s="469"/>
      <c r="V3" s="469"/>
      <c r="W3" s="469"/>
      <c r="X3" s="469"/>
      <c r="Y3" s="470"/>
      <c r="AA3" s="11" t="s">
        <v>13</v>
      </c>
    </row>
    <row r="4" spans="1:27" ht="15" customHeight="1" x14ac:dyDescent="0.25">
      <c r="B4" s="5" t="s">
        <v>14</v>
      </c>
      <c r="C4" s="11" t="s">
        <v>15</v>
      </c>
      <c r="I4" s="11" t="s">
        <v>13</v>
      </c>
      <c r="K4" s="34" t="s">
        <v>55</v>
      </c>
      <c r="L4" s="33" t="s">
        <v>15</v>
      </c>
      <c r="R4" s="33" t="s">
        <v>13</v>
      </c>
      <c r="T4" s="5" t="s">
        <v>14</v>
      </c>
      <c r="U4" s="11" t="s">
        <v>15</v>
      </c>
      <c r="AA4" s="11" t="s">
        <v>13</v>
      </c>
    </row>
    <row r="5" spans="1:27" ht="15" customHeight="1" x14ac:dyDescent="0.25">
      <c r="B5" s="5" t="s">
        <v>17</v>
      </c>
      <c r="C5" s="11" t="s">
        <v>18</v>
      </c>
      <c r="I5" s="11" t="s">
        <v>13</v>
      </c>
      <c r="K5" s="34" t="s">
        <v>56</v>
      </c>
      <c r="L5" s="33" t="s">
        <v>18</v>
      </c>
      <c r="R5" s="33" t="s">
        <v>13</v>
      </c>
      <c r="T5" s="5" t="s">
        <v>17</v>
      </c>
      <c r="U5" s="11" t="s">
        <v>18</v>
      </c>
      <c r="AA5" s="11" t="s">
        <v>13</v>
      </c>
    </row>
    <row r="6" spans="1:27" ht="15" customHeight="1" x14ac:dyDescent="0.25">
      <c r="B6" s="5" t="s">
        <v>20</v>
      </c>
      <c r="C6" s="11" t="s">
        <v>90</v>
      </c>
      <c r="G6" s="56">
        <v>0</v>
      </c>
      <c r="H6" s="5">
        <v>7.0000000000000007E-2</v>
      </c>
      <c r="I6" s="11" t="s">
        <v>13</v>
      </c>
      <c r="K6" s="34" t="s">
        <v>57</v>
      </c>
      <c r="L6" s="33" t="s">
        <v>53</v>
      </c>
      <c r="R6" s="33" t="s">
        <v>3</v>
      </c>
      <c r="T6" s="5" t="s">
        <v>20</v>
      </c>
      <c r="U6" s="11" t="s">
        <v>90</v>
      </c>
      <c r="Y6" s="56">
        <v>0.13</v>
      </c>
      <c r="Z6" s="5">
        <v>0.13</v>
      </c>
      <c r="AA6" s="11" t="s">
        <v>13</v>
      </c>
    </row>
    <row r="7" spans="1:27" ht="15" customHeight="1" x14ac:dyDescent="0.25">
      <c r="B7" s="5" t="s">
        <v>19</v>
      </c>
      <c r="C7" s="11" t="s">
        <v>91</v>
      </c>
      <c r="G7" s="56">
        <v>0</v>
      </c>
      <c r="H7" s="5">
        <v>0.125</v>
      </c>
      <c r="I7" s="11" t="s">
        <v>13</v>
      </c>
      <c r="K7" s="34" t="s">
        <v>58</v>
      </c>
      <c r="L7" s="33" t="s">
        <v>54</v>
      </c>
      <c r="R7" s="33" t="s">
        <v>3</v>
      </c>
      <c r="T7" s="5" t="s">
        <v>19</v>
      </c>
      <c r="U7" s="11" t="s">
        <v>91</v>
      </c>
      <c r="Y7" s="56">
        <v>0</v>
      </c>
      <c r="Z7" s="5">
        <v>0.04</v>
      </c>
      <c r="AA7" s="11" t="s">
        <v>13</v>
      </c>
    </row>
    <row r="8" spans="1:27" ht="15" customHeight="1" thickBot="1" x14ac:dyDescent="0.3">
      <c r="B8" s="5" t="s">
        <v>23</v>
      </c>
      <c r="C8" s="11" t="s">
        <v>21</v>
      </c>
      <c r="I8" s="11" t="s">
        <v>3</v>
      </c>
      <c r="T8" s="5"/>
    </row>
    <row r="9" spans="1:27" ht="15" customHeight="1" x14ac:dyDescent="0.25">
      <c r="B9" s="5" t="s">
        <v>24</v>
      </c>
      <c r="C9" s="11" t="s">
        <v>25</v>
      </c>
      <c r="I9" s="11" t="s">
        <v>22</v>
      </c>
      <c r="S9" s="459" t="s">
        <v>26</v>
      </c>
      <c r="T9" s="460"/>
      <c r="U9" s="460"/>
      <c r="V9" s="461"/>
      <c r="W9" s="22" t="s">
        <v>44</v>
      </c>
      <c r="X9" s="456" t="s">
        <v>366</v>
      </c>
      <c r="Y9" s="456"/>
      <c r="Z9" s="456"/>
      <c r="AA9" s="457"/>
    </row>
    <row r="10" spans="1:27" ht="15" customHeight="1" thickBot="1" x14ac:dyDescent="0.3">
      <c r="S10" s="462"/>
      <c r="T10" s="463"/>
      <c r="U10" s="463"/>
      <c r="V10" s="464"/>
      <c r="W10" s="28"/>
      <c r="X10" s="458" t="s">
        <v>296</v>
      </c>
      <c r="Y10" s="458"/>
      <c r="Z10" s="152">
        <v>0.503</v>
      </c>
      <c r="AA10" s="153" t="s">
        <v>13</v>
      </c>
    </row>
    <row r="11" spans="1:27" ht="15" customHeight="1" x14ac:dyDescent="0.25">
      <c r="A11" s="495" t="s">
        <v>26</v>
      </c>
      <c r="B11" s="496"/>
      <c r="C11" s="496"/>
      <c r="D11" s="497"/>
      <c r="E11" s="22" t="s">
        <v>44</v>
      </c>
      <c r="F11" s="456" t="s">
        <v>368</v>
      </c>
      <c r="G11" s="456"/>
      <c r="H11" s="456"/>
      <c r="I11" s="457"/>
      <c r="J11" s="478" t="s">
        <v>59</v>
      </c>
      <c r="K11" s="479"/>
      <c r="L11" s="479"/>
      <c r="M11" s="479"/>
      <c r="N11" s="479"/>
      <c r="O11" s="479"/>
      <c r="P11" s="479"/>
      <c r="Q11" s="480"/>
      <c r="S11" s="459" t="s">
        <v>29</v>
      </c>
      <c r="T11" s="460"/>
      <c r="U11" s="460"/>
      <c r="V11" s="461"/>
      <c r="W11" s="22" t="s">
        <v>44</v>
      </c>
      <c r="X11" s="456" t="s">
        <v>367</v>
      </c>
      <c r="Y11" s="456"/>
      <c r="Z11" s="456"/>
      <c r="AA11" s="457"/>
    </row>
    <row r="12" spans="1:27" ht="15" customHeight="1" thickBot="1" x14ac:dyDescent="0.35">
      <c r="A12" s="492" t="s">
        <v>27</v>
      </c>
      <c r="B12" s="493"/>
      <c r="C12" s="13">
        <v>0.02</v>
      </c>
      <c r="D12" s="14" t="s">
        <v>3</v>
      </c>
      <c r="E12" s="23"/>
      <c r="F12" s="493" t="s">
        <v>93</v>
      </c>
      <c r="G12" s="493"/>
      <c r="H12" s="21">
        <f>IF(C13=0,0,C12/C13)</f>
        <v>0.02</v>
      </c>
      <c r="I12" s="148" t="s">
        <v>13</v>
      </c>
      <c r="J12" s="488" t="s">
        <v>82</v>
      </c>
      <c r="K12" s="489"/>
      <c r="L12" s="43">
        <v>0.15</v>
      </c>
      <c r="M12" s="44" t="s">
        <v>3</v>
      </c>
      <c r="N12" s="485" t="s">
        <v>65</v>
      </c>
      <c r="O12" s="485"/>
      <c r="P12" s="45">
        <f>L13/L13</f>
        <v>1</v>
      </c>
      <c r="Q12" s="47" t="s">
        <v>89</v>
      </c>
      <c r="S12" s="462"/>
      <c r="T12" s="463"/>
      <c r="U12" s="463"/>
      <c r="V12" s="464"/>
      <c r="W12" s="26"/>
      <c r="X12" s="458" t="s">
        <v>297</v>
      </c>
      <c r="Y12" s="458"/>
      <c r="Z12" s="152">
        <v>0</v>
      </c>
      <c r="AA12" s="154" t="s">
        <v>13</v>
      </c>
    </row>
    <row r="13" spans="1:27" s="8" customFormat="1" ht="15" customHeight="1" thickBot="1" x14ac:dyDescent="0.35">
      <c r="A13" s="494" t="s">
        <v>28</v>
      </c>
      <c r="B13" s="458"/>
      <c r="C13" s="24">
        <v>1</v>
      </c>
      <c r="D13" s="25" t="s">
        <v>22</v>
      </c>
      <c r="E13" s="26"/>
      <c r="F13" s="26"/>
      <c r="G13" s="26"/>
      <c r="H13" s="26"/>
      <c r="I13" s="149"/>
      <c r="J13" s="490" t="s">
        <v>81</v>
      </c>
      <c r="K13" s="487"/>
      <c r="L13" s="48">
        <f>IF(L12&lt;0.2,0.2,L12)</f>
        <v>0.2</v>
      </c>
      <c r="M13" s="49" t="s">
        <v>3</v>
      </c>
      <c r="N13" s="491" t="s">
        <v>78</v>
      </c>
      <c r="O13" s="491"/>
      <c r="P13" s="50">
        <f>P12*H12</f>
        <v>0.02</v>
      </c>
      <c r="Q13" s="51" t="s">
        <v>13</v>
      </c>
      <c r="R13" s="33"/>
      <c r="S13" s="459" t="s">
        <v>32</v>
      </c>
      <c r="T13" s="460"/>
      <c r="U13" s="460"/>
      <c r="V13" s="461"/>
      <c r="W13" s="22" t="s">
        <v>44</v>
      </c>
      <c r="X13" s="456" t="s">
        <v>293</v>
      </c>
      <c r="Y13" s="456"/>
      <c r="Z13" s="456"/>
      <c r="AA13" s="457"/>
    </row>
    <row r="14" spans="1:27" s="8" customFormat="1" ht="15" customHeight="1" thickBot="1" x14ac:dyDescent="0.35">
      <c r="A14" s="495" t="s">
        <v>29</v>
      </c>
      <c r="B14" s="496"/>
      <c r="C14" s="496"/>
      <c r="D14" s="497"/>
      <c r="E14" s="22" t="s">
        <v>44</v>
      </c>
      <c r="F14" s="456" t="s">
        <v>690</v>
      </c>
      <c r="G14" s="456"/>
      <c r="H14" s="456"/>
      <c r="I14" s="457"/>
      <c r="J14" s="478" t="s">
        <v>61</v>
      </c>
      <c r="K14" s="479"/>
      <c r="L14" s="479"/>
      <c r="M14" s="479"/>
      <c r="N14" s="479"/>
      <c r="O14" s="479"/>
      <c r="P14" s="479"/>
      <c r="Q14" s="480"/>
      <c r="R14" s="33"/>
      <c r="S14" s="462"/>
      <c r="T14" s="463"/>
      <c r="U14" s="463"/>
      <c r="V14" s="464"/>
      <c r="W14" s="28"/>
      <c r="X14" s="458" t="s">
        <v>99</v>
      </c>
      <c r="Y14" s="458"/>
      <c r="Z14" s="152">
        <v>0</v>
      </c>
      <c r="AA14" s="153" t="s">
        <v>13</v>
      </c>
    </row>
    <row r="15" spans="1:27" s="8" customFormat="1" ht="15" customHeight="1" x14ac:dyDescent="0.3">
      <c r="A15" s="492" t="s">
        <v>30</v>
      </c>
      <c r="B15" s="493"/>
      <c r="C15" s="13">
        <v>0.02</v>
      </c>
      <c r="D15" s="14" t="s">
        <v>3</v>
      </c>
      <c r="E15" s="27"/>
      <c r="F15" s="493" t="s">
        <v>94</v>
      </c>
      <c r="G15" s="493"/>
      <c r="H15" s="21">
        <f>IF(C16=0,0,C15/C16)</f>
        <v>0.2857142857142857</v>
      </c>
      <c r="I15" s="150" t="s">
        <v>13</v>
      </c>
      <c r="J15" s="488" t="s">
        <v>83</v>
      </c>
      <c r="K15" s="485"/>
      <c r="L15" s="44">
        <f>IF(C12=0,0,L13+(2*C12))</f>
        <v>0.24000000000000002</v>
      </c>
      <c r="M15" s="46" t="s">
        <v>3</v>
      </c>
      <c r="N15" s="485" t="s">
        <v>66</v>
      </c>
      <c r="O15" s="485"/>
      <c r="P15" s="45">
        <f>IF(L15=0,0,L13/L15)</f>
        <v>0.83333333333333326</v>
      </c>
      <c r="Q15" s="47" t="s">
        <v>89</v>
      </c>
      <c r="R15" s="33"/>
      <c r="S15" s="459" t="s">
        <v>35</v>
      </c>
      <c r="T15" s="460"/>
      <c r="U15" s="460"/>
      <c r="V15" s="461"/>
      <c r="W15" s="22" t="s">
        <v>44</v>
      </c>
      <c r="X15" s="456" t="s">
        <v>368</v>
      </c>
      <c r="Y15" s="456"/>
      <c r="Z15" s="456"/>
      <c r="AA15" s="457"/>
    </row>
    <row r="16" spans="1:27" ht="15" customHeight="1" thickBot="1" x14ac:dyDescent="0.3">
      <c r="A16" s="494" t="s">
        <v>31</v>
      </c>
      <c r="B16" s="458"/>
      <c r="C16" s="24">
        <v>7.0000000000000007E-2</v>
      </c>
      <c r="D16" s="25" t="s">
        <v>22</v>
      </c>
      <c r="E16" s="28"/>
      <c r="F16" s="28"/>
      <c r="G16" s="28"/>
      <c r="H16" s="28"/>
      <c r="I16" s="151"/>
      <c r="J16" s="52"/>
      <c r="K16" s="53"/>
      <c r="L16" s="53"/>
      <c r="M16" s="53"/>
      <c r="N16" s="487" t="s">
        <v>77</v>
      </c>
      <c r="O16" s="487"/>
      <c r="P16" s="50">
        <f>IF(P15=0,0,P15*H15)</f>
        <v>0.23809523809523805</v>
      </c>
      <c r="Q16" s="51" t="s">
        <v>13</v>
      </c>
      <c r="S16" s="462"/>
      <c r="T16" s="463"/>
      <c r="U16" s="463"/>
      <c r="V16" s="464"/>
      <c r="W16" s="28"/>
      <c r="X16" s="458" t="s">
        <v>100</v>
      </c>
      <c r="Y16" s="458"/>
      <c r="Z16" s="152">
        <v>0</v>
      </c>
      <c r="AA16" s="153" t="s">
        <v>13</v>
      </c>
    </row>
    <row r="17" spans="1:35" ht="15" customHeight="1" x14ac:dyDescent="0.25">
      <c r="A17" s="495" t="s">
        <v>32</v>
      </c>
      <c r="B17" s="496"/>
      <c r="C17" s="496"/>
      <c r="D17" s="497"/>
      <c r="E17" s="22" t="s">
        <v>44</v>
      </c>
      <c r="F17" s="456" t="s">
        <v>609</v>
      </c>
      <c r="G17" s="456"/>
      <c r="H17" s="456"/>
      <c r="I17" s="457"/>
      <c r="J17" s="478" t="s">
        <v>62</v>
      </c>
      <c r="K17" s="479"/>
      <c r="L17" s="479"/>
      <c r="M17" s="479"/>
      <c r="N17" s="479"/>
      <c r="O17" s="479"/>
      <c r="P17" s="479"/>
      <c r="Q17" s="480"/>
      <c r="S17" s="459" t="s">
        <v>38</v>
      </c>
      <c r="T17" s="460"/>
      <c r="U17" s="460"/>
      <c r="V17" s="461"/>
      <c r="W17" s="22" t="s">
        <v>44</v>
      </c>
      <c r="X17" s="456"/>
      <c r="Y17" s="456"/>
      <c r="Z17" s="456"/>
      <c r="AA17" s="457"/>
    </row>
    <row r="18" spans="1:35" ht="15" customHeight="1" thickBot="1" x14ac:dyDescent="0.3">
      <c r="A18" s="492" t="s">
        <v>33</v>
      </c>
      <c r="B18" s="493"/>
      <c r="C18" s="13">
        <v>0.04</v>
      </c>
      <c r="D18" s="14" t="s">
        <v>3</v>
      </c>
      <c r="E18" s="23"/>
      <c r="F18" s="493" t="s">
        <v>41</v>
      </c>
      <c r="G18" s="493"/>
      <c r="H18" s="21">
        <f>IF(C19=0,0,C18/C19)</f>
        <v>0.08</v>
      </c>
      <c r="I18" s="148" t="s">
        <v>13</v>
      </c>
      <c r="J18" s="488" t="s">
        <v>85</v>
      </c>
      <c r="K18" s="485"/>
      <c r="L18" s="44">
        <f>IF(C15=0,0,L15+(2*C15))</f>
        <v>0.28000000000000003</v>
      </c>
      <c r="M18" s="44" t="s">
        <v>3</v>
      </c>
      <c r="N18" s="481" t="s">
        <v>67</v>
      </c>
      <c r="O18" s="482"/>
      <c r="P18" s="45">
        <f>IF(L18=0,0,L13/L18)</f>
        <v>0.7142857142857143</v>
      </c>
      <c r="Q18" s="47" t="s">
        <v>89</v>
      </c>
      <c r="S18" s="462"/>
      <c r="T18" s="463"/>
      <c r="U18" s="463"/>
      <c r="V18" s="464"/>
      <c r="W18" s="28"/>
      <c r="X18" s="458" t="s">
        <v>101</v>
      </c>
      <c r="Y18" s="458"/>
      <c r="Z18" s="152">
        <v>0</v>
      </c>
      <c r="AA18" s="153" t="s">
        <v>13</v>
      </c>
    </row>
    <row r="19" spans="1:35" ht="15" customHeight="1" thickBot="1" x14ac:dyDescent="0.3">
      <c r="A19" s="494" t="s">
        <v>34</v>
      </c>
      <c r="B19" s="458"/>
      <c r="C19" s="24">
        <v>0.5</v>
      </c>
      <c r="D19" s="25" t="s">
        <v>22</v>
      </c>
      <c r="E19" s="28"/>
      <c r="F19" s="28"/>
      <c r="G19" s="28"/>
      <c r="H19" s="28"/>
      <c r="I19" s="151"/>
      <c r="J19" s="52"/>
      <c r="K19" s="53"/>
      <c r="L19" s="53"/>
      <c r="M19" s="53"/>
      <c r="N19" s="483" t="s">
        <v>76</v>
      </c>
      <c r="O19" s="484"/>
      <c r="P19" s="50">
        <f>IF(P18=0,0,P18*H18)</f>
        <v>5.7142857142857148E-2</v>
      </c>
      <c r="Q19" s="51" t="s">
        <v>13</v>
      </c>
      <c r="S19" s="135"/>
      <c r="T19" s="135"/>
      <c r="U19" s="135"/>
      <c r="V19" s="135"/>
      <c r="W19" s="135"/>
      <c r="X19" s="135"/>
      <c r="Y19" s="135"/>
      <c r="Z19" s="135"/>
      <c r="AA19" s="135"/>
    </row>
    <row r="20" spans="1:35" ht="15" customHeight="1" x14ac:dyDescent="0.25">
      <c r="A20" s="495" t="s">
        <v>35</v>
      </c>
      <c r="B20" s="496"/>
      <c r="C20" s="496"/>
      <c r="D20" s="497"/>
      <c r="E20" s="22" t="s">
        <v>44</v>
      </c>
      <c r="F20" s="456" t="s">
        <v>293</v>
      </c>
      <c r="G20" s="456"/>
      <c r="H20" s="456"/>
      <c r="I20" s="457"/>
      <c r="J20" s="478" t="s">
        <v>63</v>
      </c>
      <c r="K20" s="479"/>
      <c r="L20" s="479"/>
      <c r="M20" s="479"/>
      <c r="N20" s="479"/>
      <c r="O20" s="479"/>
      <c r="P20" s="479"/>
      <c r="Q20" s="480"/>
      <c r="S20" s="155"/>
      <c r="T20" s="155"/>
      <c r="U20" s="135"/>
      <c r="V20" s="135"/>
      <c r="W20" s="135"/>
      <c r="X20" s="135"/>
      <c r="Y20" s="135"/>
      <c r="Z20" s="135"/>
      <c r="AA20" s="135"/>
    </row>
    <row r="21" spans="1:35" ht="15" customHeight="1" x14ac:dyDescent="0.25">
      <c r="A21" s="492" t="s">
        <v>36</v>
      </c>
      <c r="B21" s="493"/>
      <c r="C21" s="13">
        <v>0</v>
      </c>
      <c r="D21" s="14" t="s">
        <v>3</v>
      </c>
      <c r="E21" s="23"/>
      <c r="F21" s="493" t="s">
        <v>42</v>
      </c>
      <c r="G21" s="493"/>
      <c r="H21" s="21">
        <f>IF(C22=0,0,C21/C22)</f>
        <v>0</v>
      </c>
      <c r="I21" s="148" t="s">
        <v>13</v>
      </c>
      <c r="J21" s="488" t="s">
        <v>86</v>
      </c>
      <c r="K21" s="485"/>
      <c r="L21" s="44">
        <f>IF(C18=0,0,L18+(2*C18))</f>
        <v>0.36000000000000004</v>
      </c>
      <c r="M21" s="44" t="s">
        <v>3</v>
      </c>
      <c r="N21" s="485" t="s">
        <v>68</v>
      </c>
      <c r="O21" s="485"/>
      <c r="P21" s="45">
        <f>IF(L21=0,0,L13/L21)</f>
        <v>0.55555555555555547</v>
      </c>
      <c r="Q21" s="47" t="s">
        <v>89</v>
      </c>
      <c r="S21" s="135"/>
      <c r="T21" s="135"/>
      <c r="U21" s="135"/>
      <c r="V21" s="135"/>
      <c r="W21" s="135"/>
      <c r="X21" s="135"/>
      <c r="Y21" s="135"/>
      <c r="Z21" s="135"/>
      <c r="AA21" s="135"/>
    </row>
    <row r="22" spans="1:35" ht="15" customHeight="1" thickBot="1" x14ac:dyDescent="0.3">
      <c r="A22" s="494" t="s">
        <v>37</v>
      </c>
      <c r="B22" s="458"/>
      <c r="C22" s="24">
        <v>1</v>
      </c>
      <c r="D22" s="25" t="s">
        <v>22</v>
      </c>
      <c r="E22" s="28"/>
      <c r="F22" s="28"/>
      <c r="G22" s="28"/>
      <c r="H22" s="28"/>
      <c r="I22" s="151"/>
      <c r="J22" s="52"/>
      <c r="K22" s="53"/>
      <c r="L22" s="53"/>
      <c r="M22" s="53"/>
      <c r="N22" s="486" t="s">
        <v>79</v>
      </c>
      <c r="O22" s="486"/>
      <c r="P22" s="54">
        <f>IF(P21=0,0,P21*H21)</f>
        <v>0</v>
      </c>
      <c r="Q22" s="55" t="s">
        <v>13</v>
      </c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35" ht="15" customHeight="1" x14ac:dyDescent="0.25">
      <c r="A23" s="495" t="s">
        <v>38</v>
      </c>
      <c r="B23" s="496"/>
      <c r="C23" s="496"/>
      <c r="D23" s="497"/>
      <c r="E23" s="22" t="s">
        <v>44</v>
      </c>
      <c r="F23" s="456" t="s">
        <v>737</v>
      </c>
      <c r="G23" s="456"/>
      <c r="H23" s="456"/>
      <c r="I23" s="457"/>
      <c r="J23" s="478" t="s">
        <v>60</v>
      </c>
      <c r="K23" s="479"/>
      <c r="L23" s="479"/>
      <c r="M23" s="479"/>
      <c r="N23" s="479"/>
      <c r="O23" s="479"/>
      <c r="P23" s="479"/>
      <c r="Q23" s="480"/>
      <c r="S23" s="155"/>
      <c r="T23" s="155"/>
      <c r="U23" s="135"/>
      <c r="V23" s="135"/>
      <c r="W23" s="135"/>
      <c r="X23" s="135"/>
      <c r="Y23" s="135"/>
      <c r="Z23" s="135"/>
      <c r="AA23" s="135"/>
    </row>
    <row r="24" spans="1:35" ht="15" customHeight="1" x14ac:dyDescent="0.25">
      <c r="A24" s="492" t="s">
        <v>39</v>
      </c>
      <c r="B24" s="493"/>
      <c r="C24" s="13">
        <v>0</v>
      </c>
      <c r="D24" s="14" t="s">
        <v>3</v>
      </c>
      <c r="E24" s="23"/>
      <c r="F24" s="493" t="s">
        <v>43</v>
      </c>
      <c r="G24" s="493"/>
      <c r="H24" s="21">
        <f>IF(C25=0,0,C24/C25)</f>
        <v>0</v>
      </c>
      <c r="I24" s="148" t="s">
        <v>13</v>
      </c>
      <c r="J24" s="488" t="s">
        <v>84</v>
      </c>
      <c r="K24" s="485"/>
      <c r="L24" s="44">
        <f>IF(C21=0,0,L21+(2*C21))</f>
        <v>0</v>
      </c>
      <c r="M24" s="44" t="s">
        <v>3</v>
      </c>
      <c r="N24" s="485" t="s">
        <v>69</v>
      </c>
      <c r="O24" s="485"/>
      <c r="P24" s="45">
        <f>IF(L24=0,0,L13/L24)</f>
        <v>0</v>
      </c>
      <c r="Q24" s="47" t="s">
        <v>89</v>
      </c>
      <c r="S24" s="135"/>
      <c r="T24" s="135"/>
      <c r="U24" s="135"/>
      <c r="V24" s="135"/>
      <c r="W24" s="135"/>
      <c r="X24" s="135"/>
      <c r="Y24" s="135"/>
      <c r="Z24" s="135"/>
      <c r="AA24" s="135"/>
    </row>
    <row r="25" spans="1:35" ht="15" customHeight="1" thickBot="1" x14ac:dyDescent="0.3">
      <c r="A25" s="494" t="s">
        <v>40</v>
      </c>
      <c r="B25" s="458"/>
      <c r="C25" s="24">
        <v>0</v>
      </c>
      <c r="D25" s="25" t="s">
        <v>22</v>
      </c>
      <c r="E25" s="28"/>
      <c r="F25" s="28"/>
      <c r="G25" s="28"/>
      <c r="H25" s="28"/>
      <c r="I25" s="151"/>
      <c r="J25" s="52"/>
      <c r="K25" s="53"/>
      <c r="L25" s="53"/>
      <c r="M25" s="53"/>
      <c r="N25" s="487" t="s">
        <v>80</v>
      </c>
      <c r="O25" s="487"/>
      <c r="P25" s="50">
        <f>IF(P24=0,0,P24*H24)</f>
        <v>0</v>
      </c>
      <c r="Q25" s="51" t="s">
        <v>13</v>
      </c>
    </row>
    <row r="26" spans="1:35" ht="15" customHeight="1" x14ac:dyDescent="0.25"/>
    <row r="27" spans="1:35" s="29" customFormat="1" ht="18.75" customHeight="1" x14ac:dyDescent="0.3">
      <c r="A27" s="15" t="s">
        <v>52</v>
      </c>
      <c r="B27" s="16" t="s">
        <v>8</v>
      </c>
      <c r="C27" s="17" t="s">
        <v>45</v>
      </c>
      <c r="D27" s="17" t="s">
        <v>46</v>
      </c>
      <c r="E27" s="17" t="s">
        <v>47</v>
      </c>
      <c r="F27" s="17" t="s">
        <v>48</v>
      </c>
      <c r="G27" s="17" t="s">
        <v>49</v>
      </c>
      <c r="H27" s="17" t="s">
        <v>50</v>
      </c>
      <c r="I27" s="17" t="s">
        <v>51</v>
      </c>
      <c r="J27" s="7" t="s">
        <v>88</v>
      </c>
      <c r="K27" s="8" t="s">
        <v>8</v>
      </c>
      <c r="L27" s="37" t="s">
        <v>70</v>
      </c>
      <c r="M27" s="37" t="s">
        <v>71</v>
      </c>
      <c r="N27" s="37" t="s">
        <v>72</v>
      </c>
      <c r="O27" s="37" t="s">
        <v>73</v>
      </c>
      <c r="P27" s="37" t="s">
        <v>74</v>
      </c>
      <c r="Q27" s="37"/>
      <c r="R27" s="33"/>
      <c r="S27" s="15" t="s">
        <v>52</v>
      </c>
      <c r="T27" s="16" t="s">
        <v>8</v>
      </c>
      <c r="U27" s="17" t="s">
        <v>45</v>
      </c>
      <c r="V27" s="17" t="s">
        <v>46</v>
      </c>
      <c r="W27" s="17" t="s">
        <v>47</v>
      </c>
      <c r="X27" s="17" t="s">
        <v>48</v>
      </c>
      <c r="Y27" s="17" t="s">
        <v>49</v>
      </c>
      <c r="Z27" s="17" t="s">
        <v>50</v>
      </c>
      <c r="AA27" s="17" t="s">
        <v>51</v>
      </c>
      <c r="AB27" s="8"/>
      <c r="AC27" s="8"/>
      <c r="AD27" s="8"/>
      <c r="AE27" s="8"/>
      <c r="AF27" s="8"/>
      <c r="AG27" s="8"/>
      <c r="AH27" s="8"/>
      <c r="AI27" s="8"/>
    </row>
    <row r="28" spans="1:35" s="29" customFormat="1" ht="18.75" customHeight="1" thickBot="1" x14ac:dyDescent="0.35">
      <c r="A28" s="16"/>
      <c r="B28" s="16" t="s">
        <v>8</v>
      </c>
      <c r="C28" s="32">
        <f>H12</f>
        <v>0.02</v>
      </c>
      <c r="D28" s="32">
        <f>H15</f>
        <v>0.2857142857142857</v>
      </c>
      <c r="E28" s="32">
        <f>H18</f>
        <v>0.08</v>
      </c>
      <c r="F28" s="32">
        <f>H21</f>
        <v>0</v>
      </c>
      <c r="G28" s="32">
        <f>H24</f>
        <v>0</v>
      </c>
      <c r="H28" s="17">
        <f>G6</f>
        <v>0</v>
      </c>
      <c r="I28" s="17">
        <f>G7</f>
        <v>0</v>
      </c>
      <c r="J28" s="8"/>
      <c r="K28" s="8" t="s">
        <v>8</v>
      </c>
      <c r="L28" s="39">
        <f>P13</f>
        <v>0.02</v>
      </c>
      <c r="M28" s="39">
        <f>P16</f>
        <v>0.23809523809523805</v>
      </c>
      <c r="N28" s="39">
        <f>P19</f>
        <v>5.7142857142857148E-2</v>
      </c>
      <c r="O28" s="39">
        <f>P22</f>
        <v>0</v>
      </c>
      <c r="P28" s="39">
        <f>P25</f>
        <v>0</v>
      </c>
      <c r="Q28" s="36"/>
      <c r="R28" s="33"/>
      <c r="S28" s="16"/>
      <c r="T28" s="16" t="s">
        <v>8</v>
      </c>
      <c r="U28" s="32">
        <f>Z10</f>
        <v>0.503</v>
      </c>
      <c r="V28" s="32">
        <f>Z12</f>
        <v>0</v>
      </c>
      <c r="W28" s="32">
        <f>Z14</f>
        <v>0</v>
      </c>
      <c r="X28" s="32">
        <f>Z16</f>
        <v>0</v>
      </c>
      <c r="Y28" s="32">
        <f>Z18</f>
        <v>0</v>
      </c>
      <c r="Z28" s="17">
        <f>Y6</f>
        <v>0.13</v>
      </c>
      <c r="AA28" s="17">
        <f>Y7</f>
        <v>0</v>
      </c>
      <c r="AB28" s="8"/>
      <c r="AC28" s="8"/>
      <c r="AD28" s="8"/>
      <c r="AE28" s="8"/>
      <c r="AF28" s="8"/>
      <c r="AG28" s="8"/>
      <c r="AH28" s="8"/>
      <c r="AI28" s="8"/>
    </row>
    <row r="29" spans="1:35" s="31" customFormat="1" ht="27.75" customHeight="1" thickBot="1" x14ac:dyDescent="0.45">
      <c r="A29" s="18" t="s">
        <v>52</v>
      </c>
      <c r="B29" s="19" t="s">
        <v>8</v>
      </c>
      <c r="C29" s="444">
        <f>SUM(C28:I28)</f>
        <v>0.38571428571428573</v>
      </c>
      <c r="D29" s="444"/>
      <c r="E29" s="445" t="s">
        <v>13</v>
      </c>
      <c r="F29" s="446"/>
      <c r="G29" s="214">
        <f>(C29-G6-G7)*0.66</f>
        <v>0.25457142857142862</v>
      </c>
      <c r="H29" s="440" t="s">
        <v>370</v>
      </c>
      <c r="I29" s="441"/>
      <c r="J29" s="40" t="s">
        <v>87</v>
      </c>
      <c r="K29" s="9" t="s">
        <v>8</v>
      </c>
      <c r="L29" s="455">
        <f>SUM(L28:P28)</f>
        <v>0.31523809523809521</v>
      </c>
      <c r="M29" s="455"/>
      <c r="N29" s="445" t="s">
        <v>13</v>
      </c>
      <c r="O29" s="446"/>
      <c r="P29" s="214">
        <f>(L29-G6-G7)*0.66</f>
        <v>0.20805714285714286</v>
      </c>
      <c r="Q29" s="440" t="s">
        <v>370</v>
      </c>
      <c r="R29" s="441"/>
      <c r="S29" s="18" t="s">
        <v>52</v>
      </c>
      <c r="T29" s="19" t="s">
        <v>8</v>
      </c>
      <c r="U29" s="444">
        <f>SUM(U28:AA28)</f>
        <v>0.63300000000000001</v>
      </c>
      <c r="V29" s="444"/>
      <c r="W29" s="445" t="s">
        <v>13</v>
      </c>
      <c r="X29" s="446"/>
      <c r="Y29" s="30"/>
      <c r="Z29" s="30"/>
      <c r="AA29" s="30"/>
      <c r="AB29" s="35"/>
      <c r="AC29" s="35"/>
      <c r="AD29" s="35"/>
      <c r="AE29" s="35"/>
      <c r="AF29" s="35"/>
      <c r="AG29" s="35"/>
      <c r="AH29" s="35"/>
      <c r="AI29" s="35"/>
    </row>
    <row r="30" spans="1:35" ht="15" customHeight="1" thickBot="1" x14ac:dyDescent="0.3">
      <c r="T30" s="11" t="s">
        <v>369</v>
      </c>
      <c r="X30" s="162">
        <f>(U29-Z28-AA28)*0.66</f>
        <v>0.33198</v>
      </c>
      <c r="Y30" s="11" t="s">
        <v>370</v>
      </c>
    </row>
    <row r="31" spans="1:35" s="57" customFormat="1" ht="34.5" customHeight="1" thickBot="1" x14ac:dyDescent="0.55000000000000004">
      <c r="A31" s="449" t="s">
        <v>278</v>
      </c>
      <c r="B31" s="450"/>
      <c r="C31" s="450"/>
      <c r="D31" s="450"/>
      <c r="E31" s="450"/>
      <c r="F31" s="450"/>
      <c r="G31" s="450"/>
      <c r="H31" s="450"/>
      <c r="I31" s="451"/>
      <c r="J31" s="449" t="s">
        <v>92</v>
      </c>
      <c r="K31" s="450"/>
      <c r="L31" s="450"/>
      <c r="M31" s="450"/>
      <c r="N31" s="450"/>
      <c r="O31" s="450"/>
      <c r="P31" s="450"/>
      <c r="Q31" s="450"/>
      <c r="R31" s="451"/>
    </row>
    <row r="32" spans="1:35" ht="15" customHeight="1" thickBot="1" x14ac:dyDescent="0.3">
      <c r="A32" s="33"/>
      <c r="B32" s="33"/>
      <c r="C32" s="33"/>
      <c r="D32" s="33"/>
      <c r="E32" s="33"/>
      <c r="F32" s="33"/>
      <c r="G32" s="33"/>
      <c r="H32" s="33"/>
      <c r="I32" s="33"/>
      <c r="S32" s="33"/>
      <c r="T32" s="33"/>
      <c r="U32" s="33"/>
      <c r="V32" s="33"/>
      <c r="W32" s="33"/>
      <c r="X32" s="33"/>
      <c r="Y32" s="33"/>
      <c r="Z32" s="33"/>
      <c r="AA32"/>
      <c r="AB32"/>
      <c r="AC32"/>
      <c r="AD32"/>
      <c r="AE32"/>
      <c r="AF32"/>
      <c r="AG32"/>
      <c r="AH32"/>
      <c r="AI32"/>
    </row>
    <row r="33" spans="1:35" ht="27" customHeight="1" thickBot="1" x14ac:dyDescent="0.5">
      <c r="A33" s="33" t="s">
        <v>0</v>
      </c>
      <c r="B33" s="471" t="s">
        <v>279</v>
      </c>
      <c r="C33" s="472"/>
      <c r="D33" s="472"/>
      <c r="E33" s="472"/>
      <c r="F33" s="472"/>
      <c r="G33" s="473"/>
      <c r="H33" s="33"/>
      <c r="I33" s="119" t="s">
        <v>22</v>
      </c>
      <c r="J33" s="33" t="s">
        <v>0</v>
      </c>
      <c r="K33" s="452" t="s">
        <v>103</v>
      </c>
      <c r="L33" s="453"/>
      <c r="M33" s="453"/>
      <c r="N33" s="453"/>
      <c r="O33" s="453"/>
      <c r="P33" s="454"/>
      <c r="R33" s="33" t="s">
        <v>13</v>
      </c>
      <c r="S33" s="33"/>
      <c r="T33" s="33"/>
      <c r="U33" s="33"/>
      <c r="V33" s="33"/>
      <c r="W33" s="33"/>
      <c r="X33" s="33"/>
      <c r="Y33" s="33"/>
      <c r="Z33" s="33"/>
      <c r="AA33"/>
      <c r="AB33"/>
      <c r="AC33"/>
      <c r="AD33"/>
      <c r="AE33"/>
      <c r="AF33"/>
      <c r="AG33"/>
      <c r="AH33"/>
      <c r="AI33"/>
    </row>
    <row r="34" spans="1:35" ht="15" customHeight="1" x14ac:dyDescent="0.35">
      <c r="A34" s="33"/>
      <c r="B34" s="474" t="s">
        <v>282</v>
      </c>
      <c r="C34" s="474"/>
      <c r="D34" s="474"/>
      <c r="E34" s="474"/>
      <c r="F34" s="474"/>
      <c r="G34" s="474"/>
      <c r="I34" s="11" t="s">
        <v>22</v>
      </c>
      <c r="K34" s="58" t="s">
        <v>95</v>
      </c>
      <c r="L34" s="42" t="s">
        <v>96</v>
      </c>
      <c r="N34" s="59">
        <v>1</v>
      </c>
      <c r="O34" s="42" t="s">
        <v>102</v>
      </c>
      <c r="R34" s="33" t="s">
        <v>13</v>
      </c>
      <c r="S34" s="33"/>
      <c r="T34" s="33"/>
      <c r="U34" s="33"/>
      <c r="V34" s="33"/>
      <c r="W34" s="33"/>
      <c r="X34" s="33"/>
      <c r="Y34" s="33"/>
      <c r="Z34" s="33"/>
      <c r="AA34"/>
      <c r="AB34"/>
      <c r="AC34"/>
      <c r="AD34"/>
      <c r="AE34"/>
      <c r="AF34"/>
      <c r="AG34"/>
      <c r="AH34"/>
      <c r="AI34"/>
    </row>
    <row r="35" spans="1:35" ht="15" customHeight="1" x14ac:dyDescent="0.35">
      <c r="A35" s="33"/>
      <c r="B35" s="475" t="s">
        <v>283</v>
      </c>
      <c r="C35" s="475"/>
      <c r="D35" s="475"/>
      <c r="E35" s="475"/>
      <c r="F35" s="475"/>
      <c r="G35" s="475"/>
      <c r="H35" s="475"/>
      <c r="I35" s="11" t="s">
        <v>22</v>
      </c>
      <c r="K35" s="38"/>
      <c r="S35" s="33"/>
      <c r="T35" s="33"/>
      <c r="U35" s="33"/>
      <c r="V35" s="33"/>
      <c r="W35" s="33"/>
      <c r="X35" s="33"/>
      <c r="Y35" s="33"/>
      <c r="Z35" s="33"/>
      <c r="AA35"/>
      <c r="AB35"/>
      <c r="AC35"/>
      <c r="AD35"/>
      <c r="AE35"/>
      <c r="AF35"/>
      <c r="AG35"/>
      <c r="AH35"/>
      <c r="AI35"/>
    </row>
    <row r="36" spans="1:35" ht="15" customHeight="1" x14ac:dyDescent="0.25">
      <c r="A36" s="42"/>
      <c r="B36" s="60"/>
      <c r="C36" s="42"/>
      <c r="D36" s="42"/>
      <c r="E36" s="36"/>
      <c r="F36" s="42"/>
      <c r="G36" s="42"/>
      <c r="H36" s="42"/>
      <c r="I36" s="61"/>
      <c r="J36" s="42" t="s">
        <v>97</v>
      </c>
      <c r="K36" s="60">
        <f>(N34*L13/(2*C13))*LN((L13+(2*C12))/L13)</f>
        <v>1.823215567939546E-2</v>
      </c>
      <c r="L36" s="42" t="s">
        <v>13</v>
      </c>
      <c r="M36" s="42" t="s">
        <v>104</v>
      </c>
      <c r="N36" s="36">
        <f>H12</f>
        <v>0.02</v>
      </c>
      <c r="O36" s="42" t="s">
        <v>13</v>
      </c>
      <c r="P36" s="42" t="s">
        <v>105</v>
      </c>
      <c r="Q36" s="42" t="s">
        <v>106</v>
      </c>
      <c r="R36" s="61">
        <f>1-(K36/N36)</f>
        <v>8.8392216030227067E-2</v>
      </c>
      <c r="S36" s="33"/>
      <c r="T36" s="33"/>
      <c r="U36" s="33"/>
      <c r="V36" s="33"/>
      <c r="W36" s="33"/>
      <c r="X36" s="33"/>
      <c r="Y36" s="33"/>
      <c r="Z36" s="33"/>
      <c r="AA36"/>
      <c r="AB36"/>
      <c r="AC36"/>
      <c r="AD36"/>
      <c r="AE36"/>
      <c r="AF36"/>
      <c r="AG36"/>
      <c r="AH36"/>
      <c r="AI36"/>
    </row>
    <row r="37" spans="1:35" ht="15" customHeight="1" x14ac:dyDescent="0.35">
      <c r="A37" s="42"/>
      <c r="B37" s="120" t="s">
        <v>280</v>
      </c>
      <c r="C37" s="476" t="s">
        <v>281</v>
      </c>
      <c r="D37" s="477"/>
      <c r="E37" s="122">
        <v>50</v>
      </c>
      <c r="F37" s="123" t="s">
        <v>175</v>
      </c>
      <c r="G37" s="33"/>
      <c r="H37" s="33"/>
      <c r="J37" s="42" t="s">
        <v>98</v>
      </c>
      <c r="K37" s="60">
        <f>(N34*L15/(2*C16))*LN((L15+(2*C15))/L15)</f>
        <v>0.2642583082753</v>
      </c>
      <c r="L37" s="42" t="s">
        <v>13</v>
      </c>
      <c r="M37" s="42" t="s">
        <v>104</v>
      </c>
      <c r="N37" s="36">
        <f>H15</f>
        <v>0.2857142857142857</v>
      </c>
      <c r="O37" s="42" t="s">
        <v>13</v>
      </c>
      <c r="P37" s="42" t="s">
        <v>105</v>
      </c>
      <c r="Q37" s="42" t="s">
        <v>106</v>
      </c>
      <c r="R37" s="61">
        <f>1-(K37/N37)</f>
        <v>7.5095921036449909E-2</v>
      </c>
      <c r="S37" s="33"/>
      <c r="T37" s="33"/>
      <c r="U37" s="33"/>
      <c r="V37" s="33"/>
      <c r="W37" s="33"/>
      <c r="X37" s="33"/>
      <c r="Y37" s="33"/>
      <c r="Z37" s="33"/>
      <c r="AA37"/>
      <c r="AB37"/>
      <c r="AC37"/>
      <c r="AD37"/>
      <c r="AE37"/>
      <c r="AF37"/>
      <c r="AG37"/>
      <c r="AH37"/>
      <c r="AI37"/>
    </row>
    <row r="38" spans="1:35" ht="15" customHeight="1" x14ac:dyDescent="0.25">
      <c r="A38" s="42"/>
      <c r="B38" s="38"/>
      <c r="C38" s="33"/>
      <c r="D38" s="33"/>
      <c r="E38" s="124"/>
      <c r="F38" s="125"/>
      <c r="G38" s="33"/>
      <c r="H38" s="33"/>
      <c r="I38" s="33"/>
      <c r="J38" s="42" t="s">
        <v>99</v>
      </c>
      <c r="K38" s="60">
        <f>(N34*L18/(2*C19))*LN((L18+(2*C18))/L18)</f>
        <v>7.036803991865373E-2</v>
      </c>
      <c r="L38" s="42" t="s">
        <v>13</v>
      </c>
      <c r="M38" s="42" t="s">
        <v>104</v>
      </c>
      <c r="N38" s="36">
        <f>H18</f>
        <v>0.08</v>
      </c>
      <c r="O38" s="42" t="s">
        <v>13</v>
      </c>
      <c r="P38" s="42" t="s">
        <v>105</v>
      </c>
      <c r="Q38" s="42" t="s">
        <v>106</v>
      </c>
      <c r="R38" s="61">
        <f>1-(K38/N38)</f>
        <v>0.12039950101682839</v>
      </c>
      <c r="S38" s="33"/>
      <c r="T38" s="33"/>
      <c r="U38" s="33"/>
      <c r="V38" s="33"/>
      <c r="W38" s="33"/>
      <c r="X38" s="33"/>
      <c r="Y38" s="33"/>
      <c r="Z38" s="33"/>
      <c r="AA38"/>
      <c r="AB38"/>
      <c r="AC38"/>
      <c r="AD38"/>
      <c r="AE38"/>
      <c r="AF38"/>
      <c r="AG38"/>
      <c r="AH38"/>
      <c r="AI38"/>
    </row>
    <row r="39" spans="1:35" ht="15" customHeight="1" x14ac:dyDescent="0.35">
      <c r="A39" s="42"/>
      <c r="B39" s="126" t="s">
        <v>287</v>
      </c>
      <c r="C39" s="141">
        <f>IF(E37=0,0,(0.005855231*E37)+0.006158321)</f>
        <v>0.298919871</v>
      </c>
      <c r="D39" s="127" t="s">
        <v>22</v>
      </c>
      <c r="E39" s="127" t="s">
        <v>284</v>
      </c>
      <c r="F39" s="128"/>
      <c r="G39" s="33"/>
      <c r="H39" s="33"/>
      <c r="I39" s="33"/>
      <c r="J39" s="42" t="s">
        <v>100</v>
      </c>
      <c r="S39" s="33"/>
      <c r="T39" s="33"/>
      <c r="U39" s="33"/>
      <c r="V39" s="33"/>
      <c r="W39" s="33"/>
      <c r="X39" s="33"/>
      <c r="Y39" s="33"/>
      <c r="Z39" s="33"/>
      <c r="AA39"/>
      <c r="AB39"/>
      <c r="AC39"/>
      <c r="AD39"/>
      <c r="AE39"/>
      <c r="AF39"/>
      <c r="AG39"/>
      <c r="AH39"/>
      <c r="AI39"/>
    </row>
    <row r="40" spans="1:35" ht="15" customHeight="1" x14ac:dyDescent="0.35">
      <c r="A40" s="42"/>
      <c r="B40" s="129" t="s">
        <v>288</v>
      </c>
      <c r="C40" s="142">
        <f>IF(E37=0,0,(0.000000511*POWER(E37,2))+(0.005697525*E37)+0.00997807)</f>
        <v>0.29613181999999999</v>
      </c>
      <c r="D40" s="130" t="s">
        <v>22</v>
      </c>
      <c r="E40" s="130" t="s">
        <v>285</v>
      </c>
      <c r="F40" s="131"/>
      <c r="G40" s="33"/>
      <c r="H40" s="33"/>
      <c r="I40" s="33"/>
      <c r="J40" s="42" t="s">
        <v>101</v>
      </c>
      <c r="S40" s="33"/>
      <c r="T40" s="33"/>
      <c r="U40" s="33"/>
      <c r="V40" s="33"/>
      <c r="W40" s="33"/>
      <c r="X40" s="33"/>
      <c r="Y40" s="33"/>
      <c r="Z40" s="33"/>
      <c r="AA40"/>
      <c r="AB40"/>
      <c r="AC40"/>
      <c r="AD40"/>
      <c r="AE40"/>
      <c r="AF40"/>
      <c r="AG40"/>
      <c r="AH40"/>
      <c r="AI40"/>
    </row>
    <row r="41" spans="1:35" ht="15" customHeight="1" x14ac:dyDescent="0.35">
      <c r="A41" s="33"/>
      <c r="B41" s="132" t="s">
        <v>289</v>
      </c>
      <c r="C41" s="143">
        <f>IF(E37=0,0,(-0.000000016*POWER(E37,3))+(0.000006786*POWER(E37,2)+(0.005208195*E37))+0.015644049)</f>
        <v>0.29101879899999999</v>
      </c>
      <c r="D41" s="133" t="s">
        <v>22</v>
      </c>
      <c r="E41" s="133" t="s">
        <v>286</v>
      </c>
      <c r="F41" s="134"/>
      <c r="G41" s="33"/>
      <c r="H41" s="33"/>
      <c r="I41" s="33"/>
      <c r="S41" s="33"/>
      <c r="T41" s="33"/>
      <c r="U41" s="33"/>
      <c r="V41" s="33"/>
      <c r="W41" s="33"/>
      <c r="X41" s="33"/>
      <c r="Y41" s="33"/>
      <c r="Z41" s="33"/>
      <c r="AA41"/>
      <c r="AB41"/>
      <c r="AC41"/>
      <c r="AD41"/>
      <c r="AE41"/>
      <c r="AF41"/>
      <c r="AG41"/>
      <c r="AH41"/>
      <c r="AI41"/>
    </row>
    <row r="42" spans="1:35" ht="15" customHeight="1" thickBot="1" x14ac:dyDescent="0.3">
      <c r="I42" s="135"/>
      <c r="J42" s="121"/>
      <c r="K42" s="121"/>
      <c r="L42" s="121"/>
      <c r="M42" s="121"/>
      <c r="N42" s="121"/>
      <c r="O42" s="121"/>
      <c r="P42" s="121"/>
      <c r="Q42" s="121"/>
      <c r="R42" s="121"/>
      <c r="S42" s="33"/>
      <c r="T42" s="33"/>
      <c r="U42" s="33"/>
      <c r="V42" s="33"/>
      <c r="W42" s="33"/>
      <c r="X42" s="33"/>
      <c r="Y42" s="33"/>
      <c r="Z42" s="33"/>
      <c r="AA42"/>
      <c r="AB42"/>
      <c r="AC42"/>
      <c r="AD42"/>
      <c r="AE42"/>
      <c r="AF42"/>
      <c r="AG42"/>
      <c r="AH42"/>
      <c r="AI42"/>
    </row>
    <row r="43" spans="1:35" s="31" customFormat="1" ht="27.75" customHeight="1" thickBot="1" x14ac:dyDescent="0.6">
      <c r="A43" s="18" t="s">
        <v>290</v>
      </c>
      <c r="B43" s="140"/>
      <c r="C43" s="19" t="s">
        <v>8</v>
      </c>
      <c r="D43" s="444">
        <f>SUM(C39:C41)/3</f>
        <v>0.29535683000000001</v>
      </c>
      <c r="E43" s="444"/>
      <c r="F43" s="445" t="s">
        <v>22</v>
      </c>
      <c r="G43" s="446"/>
      <c r="H43" s="30"/>
      <c r="I43" s="136"/>
      <c r="J43" s="137"/>
      <c r="K43" s="138"/>
      <c r="L43" s="447"/>
      <c r="M43" s="447"/>
      <c r="N43" s="448"/>
      <c r="O43" s="448"/>
      <c r="P43" s="139"/>
      <c r="Q43" s="139"/>
      <c r="R43" s="121"/>
      <c r="S43" s="35"/>
      <c r="T43" s="35"/>
      <c r="U43" s="35"/>
      <c r="V43" s="35"/>
      <c r="W43" s="35"/>
      <c r="X43" s="35"/>
      <c r="Y43" s="35"/>
      <c r="Z43" s="35"/>
    </row>
    <row r="44" spans="1:35" ht="15" customHeight="1" thickBot="1" x14ac:dyDescent="0.3">
      <c r="B44" s="147" t="s">
        <v>291</v>
      </c>
      <c r="C44" s="144">
        <f>AVEDEV(C39,C40,C41)</f>
        <v>2.8920206666666615E-3</v>
      </c>
      <c r="D44" s="145" t="s">
        <v>292</v>
      </c>
      <c r="E44" s="146">
        <f>IF(C44=0,0,C44/D43)</f>
        <v>9.7916160146581388E-3</v>
      </c>
      <c r="I44" s="135"/>
      <c r="J44" s="121"/>
      <c r="K44" s="121"/>
      <c r="L44" s="121"/>
      <c r="M44" s="121"/>
      <c r="N44" s="121"/>
      <c r="O44" s="121"/>
      <c r="P44" s="121"/>
      <c r="Q44" s="121"/>
      <c r="R44" s="121"/>
      <c r="S44" s="33"/>
      <c r="T44" s="33"/>
      <c r="U44" s="33"/>
      <c r="V44" s="33"/>
      <c r="W44" s="33"/>
      <c r="X44" s="33"/>
      <c r="Y44" s="33"/>
      <c r="Z44" s="33"/>
      <c r="AA44"/>
      <c r="AB44"/>
      <c r="AC44"/>
      <c r="AD44"/>
      <c r="AE44"/>
      <c r="AF44"/>
      <c r="AG44"/>
      <c r="AH44"/>
      <c r="AI44"/>
    </row>
    <row r="45" spans="1:35" ht="15" customHeight="1" thickBot="1" x14ac:dyDescent="0.3">
      <c r="I45" s="135"/>
      <c r="J45" s="121"/>
      <c r="K45" s="121"/>
      <c r="L45" s="121"/>
      <c r="M45" s="121"/>
      <c r="N45" s="121"/>
      <c r="O45" s="121"/>
      <c r="P45" s="121"/>
      <c r="Q45" s="121"/>
      <c r="R45" s="121"/>
      <c r="S45" s="33"/>
      <c r="T45" s="33"/>
      <c r="U45" s="33"/>
      <c r="V45" s="33"/>
      <c r="W45" s="33"/>
      <c r="X45" s="33"/>
      <c r="Y45" s="33"/>
      <c r="Z45" s="33"/>
      <c r="AA45"/>
      <c r="AB45"/>
      <c r="AC45"/>
      <c r="AD45"/>
      <c r="AE45"/>
      <c r="AF45"/>
      <c r="AG45"/>
      <c r="AH45"/>
      <c r="AI45"/>
    </row>
    <row r="46" spans="1:35" ht="27.75" customHeight="1" thickBot="1" x14ac:dyDescent="0.45">
      <c r="A46" s="18" t="s">
        <v>298</v>
      </c>
      <c r="B46" s="19" t="s">
        <v>8</v>
      </c>
      <c r="C46" s="444">
        <f>(E37/1000)/D43</f>
        <v>0.16928675730979373</v>
      </c>
      <c r="D46" s="444"/>
      <c r="E46" s="445" t="s">
        <v>304</v>
      </c>
      <c r="F46" s="446"/>
      <c r="I46" s="135"/>
      <c r="J46" s="121"/>
      <c r="K46" s="121"/>
      <c r="L46" s="121"/>
      <c r="M46" s="121"/>
      <c r="N46" s="121"/>
      <c r="O46" s="121"/>
      <c r="P46" s="121"/>
      <c r="Q46" s="121"/>
      <c r="R46" s="121"/>
      <c r="S46" s="33"/>
      <c r="T46" s="33"/>
      <c r="U46" s="33"/>
      <c r="V46" s="33"/>
      <c r="W46" s="33"/>
      <c r="X46" s="33"/>
      <c r="Y46" s="33"/>
      <c r="Z46" s="33"/>
      <c r="AA46"/>
      <c r="AB46"/>
      <c r="AC46"/>
      <c r="AD46"/>
      <c r="AE46"/>
      <c r="AF46"/>
      <c r="AG46"/>
      <c r="AH46"/>
      <c r="AI46"/>
    </row>
    <row r="47" spans="1:35" s="156" customFormat="1" ht="15" customHeight="1" thickBot="1" x14ac:dyDescent="0.3">
      <c r="A47" s="11"/>
      <c r="B47" s="11"/>
      <c r="C47" s="11"/>
      <c r="D47" s="11"/>
      <c r="E47" s="11"/>
      <c r="F47" s="11"/>
      <c r="G47" s="11"/>
      <c r="H47" s="11"/>
      <c r="I47" s="11"/>
    </row>
    <row r="48" spans="1:35" s="57" customFormat="1" ht="34.5" customHeight="1" thickBot="1" x14ac:dyDescent="0.55000000000000004">
      <c r="A48" s="465" t="s">
        <v>299</v>
      </c>
      <c r="B48" s="466"/>
      <c r="C48" s="466"/>
      <c r="D48" s="466"/>
      <c r="E48" s="466"/>
      <c r="F48" s="466"/>
      <c r="G48" s="466"/>
      <c r="H48" s="466"/>
      <c r="I48" s="467"/>
    </row>
    <row r="49" spans="1:35" s="57" customFormat="1" ht="15" customHeight="1" x14ac:dyDescent="0.5">
      <c r="A49" s="12"/>
      <c r="B49" s="12"/>
      <c r="C49" s="12"/>
      <c r="D49" s="12"/>
      <c r="E49" s="12"/>
      <c r="F49" s="12"/>
      <c r="G49" s="12"/>
      <c r="H49" s="12"/>
      <c r="I49" s="12"/>
    </row>
    <row r="50" spans="1:35" s="156" customFormat="1" ht="15" customHeight="1" x14ac:dyDescent="0.35">
      <c r="A50" s="11"/>
      <c r="B50" s="11" t="s">
        <v>300</v>
      </c>
      <c r="C50" s="11"/>
      <c r="D50" s="11"/>
      <c r="E50" s="11"/>
      <c r="F50" s="11"/>
      <c r="G50" s="11"/>
      <c r="H50" s="11"/>
      <c r="I50" s="11"/>
    </row>
    <row r="51" spans="1:35" s="156" customFormat="1" ht="15" customHeight="1" x14ac:dyDescent="0.25">
      <c r="A51" s="11"/>
      <c r="B51" s="11" t="s">
        <v>301</v>
      </c>
      <c r="C51" s="11"/>
      <c r="D51" s="11"/>
      <c r="E51" s="11"/>
      <c r="F51" s="11"/>
      <c r="G51" s="11"/>
      <c r="H51" s="11"/>
      <c r="I51" s="11" t="s">
        <v>13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35" s="156" customFormat="1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35" s="156" customFormat="1" ht="15" customHeight="1" x14ac:dyDescent="0.35">
      <c r="A53" s="11"/>
      <c r="B53" s="158" t="s">
        <v>302</v>
      </c>
      <c r="C53" s="498" t="s">
        <v>303</v>
      </c>
      <c r="D53" s="498"/>
      <c r="E53" s="443"/>
      <c r="F53" s="56">
        <v>85</v>
      </c>
      <c r="G53" s="157" t="s">
        <v>10</v>
      </c>
      <c r="H53" s="442" t="s">
        <v>523</v>
      </c>
      <c r="I53" s="443"/>
      <c r="S53" s="11"/>
      <c r="T53" s="11"/>
      <c r="U53" s="11"/>
      <c r="V53" s="11"/>
      <c r="W53" s="11"/>
      <c r="X53" s="11"/>
      <c r="Y53" s="11"/>
      <c r="Z53" s="11"/>
      <c r="AA53" s="11"/>
    </row>
    <row r="54" spans="1:35" s="156" customFormat="1" ht="15" customHeight="1" thickBot="1" x14ac:dyDescent="0.3">
      <c r="A54" s="20"/>
      <c r="B54" s="11"/>
      <c r="C54" s="11"/>
      <c r="D54" s="11"/>
      <c r="E54" s="11"/>
      <c r="F54" s="11"/>
      <c r="G54" s="11"/>
      <c r="H54" s="11"/>
      <c r="I54" s="11"/>
      <c r="S54" s="20"/>
      <c r="T54" s="11"/>
      <c r="U54" s="11"/>
      <c r="V54" s="11"/>
      <c r="W54" s="11"/>
      <c r="X54" s="11"/>
      <c r="Y54" s="11"/>
      <c r="Z54" s="11"/>
      <c r="AA54" s="11"/>
    </row>
    <row r="55" spans="1:35" ht="27.75" customHeight="1" thickBot="1" x14ac:dyDescent="0.45">
      <c r="A55" s="18" t="s">
        <v>298</v>
      </c>
      <c r="B55" s="19" t="s">
        <v>8</v>
      </c>
      <c r="C55" s="444">
        <f>IF(F53&gt;200,0,IF(E37&gt;50,0,(0.1165-(0.000488*F53)+(0.00000065*POWER(F53,2))+((4.36-(0.0351*F53)+(0.000082*POWER(F53,2)))*(E37/1000))-((58-(0.46*F53)+(0.001*POWER(F53,2)))*POWER((E37/1000),2)))))</f>
        <v>0.11285125</v>
      </c>
      <c r="D55" s="444"/>
      <c r="E55" s="445" t="s">
        <v>304</v>
      </c>
      <c r="F55" s="446"/>
      <c r="I55" s="135"/>
      <c r="J55" s="121"/>
      <c r="K55" s="121"/>
      <c r="L55" s="121"/>
      <c r="M55" s="121"/>
      <c r="N55" s="121"/>
      <c r="O55" s="121"/>
      <c r="P55" s="121"/>
      <c r="Q55" s="121"/>
      <c r="R55" s="121"/>
      <c r="S55" s="33"/>
      <c r="T55" s="33"/>
      <c r="U55" s="33"/>
      <c r="V55" s="33"/>
      <c r="W55" s="33"/>
      <c r="X55" s="33"/>
      <c r="Y55" s="33"/>
      <c r="Z55" s="33"/>
      <c r="AA55"/>
      <c r="AB55"/>
      <c r="AC55"/>
      <c r="AD55"/>
      <c r="AE55"/>
      <c r="AF55"/>
      <c r="AG55"/>
      <c r="AH55"/>
      <c r="AI55"/>
    </row>
    <row r="56" spans="1:35" ht="15" customHeight="1" thickBot="1" x14ac:dyDescent="0.3"/>
    <row r="57" spans="1:35" ht="27.75" customHeight="1" thickBot="1" x14ac:dyDescent="0.45">
      <c r="A57" s="18" t="s">
        <v>691</v>
      </c>
      <c r="B57" s="140"/>
      <c r="C57" s="19" t="s">
        <v>8</v>
      </c>
      <c r="D57" s="444">
        <f>(E37/1000)/C55</f>
        <v>0.4430611092034869</v>
      </c>
      <c r="E57" s="444"/>
      <c r="F57" s="445" t="s">
        <v>22</v>
      </c>
      <c r="G57" s="446"/>
    </row>
    <row r="58" spans="1:35" ht="15" customHeight="1" x14ac:dyDescent="0.25"/>
    <row r="59" spans="1:35" ht="15" customHeight="1" x14ac:dyDescent="0.25"/>
    <row r="60" spans="1:35" ht="15" customHeight="1" x14ac:dyDescent="0.25"/>
    <row r="61" spans="1:35" ht="15" customHeight="1" x14ac:dyDescent="0.25"/>
    <row r="62" spans="1:35" ht="15" customHeight="1" x14ac:dyDescent="0.25"/>
    <row r="63" spans="1:35" ht="15" customHeight="1" x14ac:dyDescent="0.25"/>
    <row r="64" spans="1:3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95">
    <mergeCell ref="D57:E57"/>
    <mergeCell ref="F57:G57"/>
    <mergeCell ref="C46:D46"/>
    <mergeCell ref="E46:F46"/>
    <mergeCell ref="C55:D55"/>
    <mergeCell ref="E55:F55"/>
    <mergeCell ref="A48:I48"/>
    <mergeCell ref="C53:E53"/>
    <mergeCell ref="A19:B19"/>
    <mergeCell ref="A20:D20"/>
    <mergeCell ref="A21:B21"/>
    <mergeCell ref="N25:O25"/>
    <mergeCell ref="F23:I23"/>
    <mergeCell ref="F20:I20"/>
    <mergeCell ref="F21:G21"/>
    <mergeCell ref="J24:K24"/>
    <mergeCell ref="N24:O24"/>
    <mergeCell ref="A15:B15"/>
    <mergeCell ref="A16:B16"/>
    <mergeCell ref="F15:G15"/>
    <mergeCell ref="F18:G18"/>
    <mergeCell ref="A17:D17"/>
    <mergeCell ref="A18:B18"/>
    <mergeCell ref="F17:I17"/>
    <mergeCell ref="E29:F29"/>
    <mergeCell ref="A22:B22"/>
    <mergeCell ref="A23:D23"/>
    <mergeCell ref="A24:B24"/>
    <mergeCell ref="A25:B25"/>
    <mergeCell ref="F24:G24"/>
    <mergeCell ref="C29:D29"/>
    <mergeCell ref="A1:I1"/>
    <mergeCell ref="A12:B12"/>
    <mergeCell ref="A13:B13"/>
    <mergeCell ref="F11:I11"/>
    <mergeCell ref="F14:I14"/>
    <mergeCell ref="B3:G3"/>
    <mergeCell ref="A11:D11"/>
    <mergeCell ref="A14:D14"/>
    <mergeCell ref="F12:G12"/>
    <mergeCell ref="K3:P3"/>
    <mergeCell ref="J1:R1"/>
    <mergeCell ref="J12:K12"/>
    <mergeCell ref="J13:K13"/>
    <mergeCell ref="N12:O12"/>
    <mergeCell ref="N13:O13"/>
    <mergeCell ref="J11:Q11"/>
    <mergeCell ref="J14:Q14"/>
    <mergeCell ref="J17:Q17"/>
    <mergeCell ref="J20:Q20"/>
    <mergeCell ref="J23:Q23"/>
    <mergeCell ref="N18:O18"/>
    <mergeCell ref="N19:O19"/>
    <mergeCell ref="N21:O21"/>
    <mergeCell ref="N22:O22"/>
    <mergeCell ref="N16:O16"/>
    <mergeCell ref="J15:K15"/>
    <mergeCell ref="J18:K18"/>
    <mergeCell ref="J21:K21"/>
    <mergeCell ref="N15:O15"/>
    <mergeCell ref="D43:E43"/>
    <mergeCell ref="F43:G43"/>
    <mergeCell ref="A31:I31"/>
    <mergeCell ref="B33:G33"/>
    <mergeCell ref="B34:G34"/>
    <mergeCell ref="B35:H35"/>
    <mergeCell ref="C37:D37"/>
    <mergeCell ref="X13:AA13"/>
    <mergeCell ref="X14:Y14"/>
    <mergeCell ref="X11:AA11"/>
    <mergeCell ref="X12:Y12"/>
    <mergeCell ref="S1:AA1"/>
    <mergeCell ref="T3:Y3"/>
    <mergeCell ref="X9:AA9"/>
    <mergeCell ref="X10:Y10"/>
    <mergeCell ref="S9:V10"/>
    <mergeCell ref="S11:V12"/>
    <mergeCell ref="S13:V14"/>
    <mergeCell ref="X17:AA17"/>
    <mergeCell ref="X18:Y18"/>
    <mergeCell ref="X15:AA15"/>
    <mergeCell ref="X16:Y16"/>
    <mergeCell ref="S15:V16"/>
    <mergeCell ref="S17:V18"/>
    <mergeCell ref="H29:I29"/>
    <mergeCell ref="Q29:R29"/>
    <mergeCell ref="H53:I53"/>
    <mergeCell ref="U29:V29"/>
    <mergeCell ref="W29:X29"/>
    <mergeCell ref="L43:M43"/>
    <mergeCell ref="N43:O43"/>
    <mergeCell ref="J31:R31"/>
    <mergeCell ref="K33:P33"/>
    <mergeCell ref="L29:M29"/>
    <mergeCell ref="N29:O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activeCell="G4" sqref="G4"/>
    </sheetView>
  </sheetViews>
  <sheetFormatPr defaultRowHeight="15" x14ac:dyDescent="0.25"/>
  <cols>
    <col min="1" max="9" width="9.140625" style="11"/>
    <col min="15" max="15" width="11.85546875" bestFit="1" customWidth="1"/>
    <col min="27" max="27" width="11.85546875" bestFit="1" customWidth="1"/>
  </cols>
  <sheetData>
    <row r="1" spans="1:35" s="33" customFormat="1" ht="34.5" thickBot="1" x14ac:dyDescent="0.55000000000000004">
      <c r="A1" s="465" t="s">
        <v>524</v>
      </c>
      <c r="B1" s="466"/>
      <c r="C1" s="466"/>
      <c r="D1" s="466"/>
      <c r="E1" s="466"/>
      <c r="F1" s="466"/>
      <c r="G1" s="466"/>
      <c r="H1" s="466"/>
      <c r="I1" s="467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33" customFormat="1" ht="11.25" customHeight="1" x14ac:dyDescent="0.5">
      <c r="A2" s="12"/>
      <c r="B2" s="12"/>
      <c r="C2" s="12"/>
      <c r="D2" s="12"/>
      <c r="E2" s="12"/>
      <c r="F2" s="12"/>
      <c r="G2" s="12"/>
      <c r="H2" s="12"/>
      <c r="I2" s="12"/>
      <c r="J2"/>
      <c r="K2" s="115" t="s">
        <v>617</v>
      </c>
      <c r="L2"/>
      <c r="M2"/>
      <c r="N2"/>
      <c r="O2"/>
      <c r="P2"/>
      <c r="Q2" s="115" t="s">
        <v>618</v>
      </c>
      <c r="R2"/>
      <c r="S2"/>
      <c r="T2"/>
      <c r="U2"/>
      <c r="V2"/>
      <c r="W2" s="388" t="s">
        <v>738</v>
      </c>
      <c r="AC2"/>
      <c r="AD2"/>
      <c r="AE2"/>
      <c r="AF2"/>
      <c r="AG2"/>
      <c r="AH2"/>
      <c r="AI2"/>
    </row>
    <row r="3" spans="1:35" s="33" customFormat="1" ht="15" customHeight="1" x14ac:dyDescent="0.25">
      <c r="A3" s="70" t="s">
        <v>529</v>
      </c>
      <c r="B3" s="520" t="s">
        <v>530</v>
      </c>
      <c r="C3" s="520"/>
      <c r="D3" s="520"/>
      <c r="E3" s="520"/>
      <c r="F3" s="520"/>
      <c r="G3" s="287">
        <v>424</v>
      </c>
      <c r="H3" s="70"/>
      <c r="I3" s="70" t="s">
        <v>10</v>
      </c>
      <c r="J3"/>
      <c r="K3" t="s">
        <v>610</v>
      </c>
      <c r="L3"/>
      <c r="M3"/>
      <c r="N3"/>
      <c r="O3" s="317">
        <f>1/G12*(G3-O18)</f>
        <v>664.46280991735546</v>
      </c>
      <c r="P3" t="s">
        <v>619</v>
      </c>
      <c r="Q3" t="s">
        <v>629</v>
      </c>
      <c r="R3"/>
      <c r="S3"/>
      <c r="T3" s="317"/>
      <c r="U3" s="325">
        <f>1/G12*3.14*G6*(G3-U18)</f>
        <v>375.55207831848656</v>
      </c>
      <c r="V3" t="s">
        <v>620</v>
      </c>
      <c r="W3" s="5" t="s">
        <v>14</v>
      </c>
      <c r="X3" s="387" t="s">
        <v>739</v>
      </c>
      <c r="Y3" s="33">
        <f>G8</f>
        <v>0.41</v>
      </c>
      <c r="Z3" s="11" t="s">
        <v>537</v>
      </c>
      <c r="AA3" s="33" t="str">
        <f>IF(Z4+Z5+Z6=Y3," ","CHYBA")</f>
        <v>CHYBA</v>
      </c>
      <c r="AC3"/>
      <c r="AD3"/>
      <c r="AE3"/>
      <c r="AF3"/>
      <c r="AG3"/>
      <c r="AH3"/>
      <c r="AI3"/>
    </row>
    <row r="4" spans="1:35" s="33" customFormat="1" ht="15" customHeight="1" x14ac:dyDescent="0.25">
      <c r="A4" s="70" t="s">
        <v>556</v>
      </c>
      <c r="B4" s="293" t="s">
        <v>555</v>
      </c>
      <c r="C4" s="293"/>
      <c r="D4" s="293"/>
      <c r="E4" s="293"/>
      <c r="F4" s="293"/>
      <c r="G4" s="287">
        <v>85</v>
      </c>
      <c r="H4" s="70"/>
      <c r="I4" s="70" t="s">
        <v>10</v>
      </c>
      <c r="J4"/>
      <c r="K4" s="102" t="s">
        <v>611</v>
      </c>
      <c r="L4" s="102"/>
      <c r="M4" s="102"/>
      <c r="N4" s="102"/>
      <c r="O4" s="317">
        <f>1/G8*(O18-O19)</f>
        <v>664.46280991735546</v>
      </c>
      <c r="P4" t="s">
        <v>619</v>
      </c>
      <c r="Q4" t="s">
        <v>621</v>
      </c>
      <c r="R4"/>
      <c r="S4"/>
      <c r="T4" s="317"/>
      <c r="U4" s="317">
        <f>2*PI()*G9*((U18-U19)/LN(G7/G6))</f>
        <v>375.7425637852665</v>
      </c>
      <c r="V4" t="s">
        <v>620</v>
      </c>
      <c r="X4" s="5" t="s">
        <v>740</v>
      </c>
      <c r="Y4" s="387" t="s">
        <v>743</v>
      </c>
      <c r="Z4" s="43">
        <v>0.315</v>
      </c>
      <c r="AA4" s="11" t="s">
        <v>537</v>
      </c>
      <c r="AC4"/>
      <c r="AD4"/>
      <c r="AE4"/>
      <c r="AF4"/>
      <c r="AG4"/>
      <c r="AH4"/>
      <c r="AI4"/>
    </row>
    <row r="5" spans="1:35" s="33" customFormat="1" ht="15" customHeight="1" x14ac:dyDescent="0.25">
      <c r="A5" s="70" t="s">
        <v>531</v>
      </c>
      <c r="B5" s="520" t="s">
        <v>532</v>
      </c>
      <c r="C5" s="520"/>
      <c r="D5" s="520"/>
      <c r="E5" s="520"/>
      <c r="F5" s="520"/>
      <c r="G5" s="287">
        <v>22</v>
      </c>
      <c r="H5" s="70"/>
      <c r="I5" s="70" t="s">
        <v>10</v>
      </c>
      <c r="J5"/>
      <c r="K5" s="102" t="s">
        <v>612</v>
      </c>
      <c r="L5" s="102"/>
      <c r="M5" s="102"/>
      <c r="N5" s="102"/>
      <c r="O5" s="317">
        <f>1/G15*(O19-G5)</f>
        <v>664.46280991735534</v>
      </c>
      <c r="P5" t="s">
        <v>619</v>
      </c>
      <c r="Q5" t="s">
        <v>628</v>
      </c>
      <c r="R5"/>
      <c r="S5"/>
      <c r="U5" s="317">
        <f>1/G15*3.14*G7*(U19-G5)</f>
        <v>375.55207831848674</v>
      </c>
      <c r="V5" t="s">
        <v>620</v>
      </c>
      <c r="X5" s="5" t="s">
        <v>741</v>
      </c>
      <c r="Y5" s="387" t="s">
        <v>745</v>
      </c>
      <c r="Z5" s="43">
        <v>0.113</v>
      </c>
      <c r="AA5" s="11" t="s">
        <v>537</v>
      </c>
      <c r="AC5"/>
      <c r="AD5"/>
      <c r="AE5"/>
      <c r="AF5"/>
      <c r="AG5"/>
      <c r="AH5"/>
      <c r="AI5"/>
    </row>
    <row r="6" spans="1:35" s="33" customFormat="1" ht="15" customHeight="1" x14ac:dyDescent="0.25">
      <c r="A6" s="70" t="s">
        <v>533</v>
      </c>
      <c r="B6" s="520" t="s">
        <v>534</v>
      </c>
      <c r="C6" s="520"/>
      <c r="D6" s="520"/>
      <c r="E6" s="520"/>
      <c r="F6" s="520"/>
      <c r="G6" s="287">
        <v>0.15</v>
      </c>
      <c r="H6" s="70"/>
      <c r="I6" s="70" t="s">
        <v>3</v>
      </c>
      <c r="J6"/>
      <c r="K6" s="102" t="s">
        <v>616</v>
      </c>
      <c r="L6" s="102"/>
      <c r="M6" s="102"/>
      <c r="N6" s="102"/>
      <c r="O6" s="317">
        <f>M8*(G3-G5)</f>
        <v>664.46280991735534</v>
      </c>
      <c r="P6" t="s">
        <v>619</v>
      </c>
      <c r="Q6" t="s">
        <v>626</v>
      </c>
      <c r="R6"/>
      <c r="S6"/>
      <c r="U6" s="317">
        <f>T9*3.14*(G3-G5)</f>
        <v>375.55207831848674</v>
      </c>
      <c r="V6" t="s">
        <v>620</v>
      </c>
      <c r="X6" s="5" t="s">
        <v>742</v>
      </c>
      <c r="Y6" s="387" t="s">
        <v>744</v>
      </c>
      <c r="Z6" s="43">
        <v>1</v>
      </c>
      <c r="AA6" s="11" t="s">
        <v>537</v>
      </c>
      <c r="AC6"/>
      <c r="AD6"/>
      <c r="AE6"/>
      <c r="AF6"/>
      <c r="AG6"/>
      <c r="AH6"/>
      <c r="AI6"/>
    </row>
    <row r="7" spans="1:35" s="33" customFormat="1" ht="15" customHeight="1" x14ac:dyDescent="0.25">
      <c r="A7" s="70" t="s">
        <v>535</v>
      </c>
      <c r="B7" s="520" t="s">
        <v>536</v>
      </c>
      <c r="C7" s="520"/>
      <c r="D7" s="520"/>
      <c r="E7" s="520"/>
      <c r="F7" s="520"/>
      <c r="G7" s="287">
        <v>0.21</v>
      </c>
      <c r="H7" s="70"/>
      <c r="I7" s="70" t="s">
        <v>3</v>
      </c>
      <c r="J7"/>
      <c r="K7" s="102"/>
      <c r="L7" s="102"/>
      <c r="M7" s="102"/>
      <c r="N7" s="102"/>
      <c r="O7"/>
      <c r="P7"/>
      <c r="Q7"/>
      <c r="R7"/>
      <c r="S7"/>
      <c r="T7"/>
      <c r="U7"/>
      <c r="V7"/>
      <c r="AC7"/>
      <c r="AD7"/>
      <c r="AE7"/>
      <c r="AF7"/>
      <c r="AG7"/>
      <c r="AH7"/>
      <c r="AI7"/>
    </row>
    <row r="8" spans="1:35" s="33" customFormat="1" ht="15" customHeight="1" x14ac:dyDescent="0.25">
      <c r="A8" s="5" t="s">
        <v>14</v>
      </c>
      <c r="B8" s="521" t="s">
        <v>15</v>
      </c>
      <c r="C8" s="521"/>
      <c r="D8" s="521"/>
      <c r="E8" s="521"/>
      <c r="F8" s="521"/>
      <c r="G8" s="287">
        <v>0.41</v>
      </c>
      <c r="H8" s="11"/>
      <c r="I8" s="11" t="s">
        <v>537</v>
      </c>
      <c r="J8"/>
      <c r="K8" s="316" t="s">
        <v>615</v>
      </c>
      <c r="L8" s="314"/>
      <c r="M8" s="318">
        <f>1/(G12+G8+G15)</f>
        <v>1.6528925619834711</v>
      </c>
      <c r="N8" s="319" t="s">
        <v>625</v>
      </c>
      <c r="Q8" s="335" t="s">
        <v>651</v>
      </c>
      <c r="U8"/>
      <c r="V8"/>
      <c r="AC8"/>
      <c r="AD8"/>
      <c r="AE8"/>
      <c r="AF8"/>
      <c r="AG8"/>
      <c r="AH8"/>
      <c r="AI8"/>
    </row>
    <row r="9" spans="1:35" s="33" customFormat="1" ht="15" customHeight="1" x14ac:dyDescent="0.25">
      <c r="A9" s="5" t="s">
        <v>622</v>
      </c>
      <c r="B9" s="521" t="s">
        <v>623</v>
      </c>
      <c r="C9" s="521"/>
      <c r="D9" s="521"/>
      <c r="E9" s="521"/>
      <c r="F9" s="521"/>
      <c r="G9" s="321">
        <f>((G7-G6)/2)/G8</f>
        <v>7.3170731707317069E-2</v>
      </c>
      <c r="H9" s="11"/>
      <c r="I9" s="11" t="s">
        <v>624</v>
      </c>
      <c r="J9"/>
      <c r="K9" s="316"/>
      <c r="L9" s="314"/>
      <c r="M9" s="314"/>
      <c r="N9" s="315"/>
      <c r="T9" s="320">
        <f>1/((G12/G6)+((1/(2*G9)*LN(G7/G6))+(G15/G7)))</f>
        <v>0.29751883759426334</v>
      </c>
      <c r="U9" t="s">
        <v>22</v>
      </c>
      <c r="V9"/>
      <c r="W9" s="316"/>
      <c r="X9" s="314"/>
      <c r="Y9" s="314"/>
      <c r="Z9" s="315"/>
      <c r="AC9"/>
      <c r="AD9"/>
      <c r="AE9"/>
      <c r="AF9"/>
      <c r="AG9"/>
      <c r="AH9"/>
      <c r="AI9"/>
    </row>
    <row r="10" spans="1:35" s="33" customFormat="1" ht="15" customHeight="1" x14ac:dyDescent="0.25">
      <c r="A10" s="5" t="s">
        <v>538</v>
      </c>
      <c r="B10" s="521" t="s">
        <v>539</v>
      </c>
      <c r="C10" s="521"/>
      <c r="D10" s="521"/>
      <c r="E10" s="521"/>
      <c r="F10" s="521"/>
      <c r="G10" s="287">
        <v>0</v>
      </c>
      <c r="H10" s="11"/>
      <c r="I10" s="11" t="s">
        <v>537</v>
      </c>
      <c r="J10"/>
      <c r="K10" s="102"/>
      <c r="L10" s="102"/>
      <c r="M10" s="315"/>
      <c r="N10" s="315"/>
      <c r="U10"/>
      <c r="V10"/>
      <c r="W10" s="115" t="s">
        <v>617</v>
      </c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33" customFormat="1" ht="15" customHeight="1" x14ac:dyDescent="0.25">
      <c r="A11" s="5" t="s">
        <v>540</v>
      </c>
      <c r="B11" s="521" t="s">
        <v>541</v>
      </c>
      <c r="C11" s="521"/>
      <c r="D11" s="521"/>
      <c r="E11" s="521"/>
      <c r="F11" s="521"/>
      <c r="G11" s="287">
        <v>0</v>
      </c>
      <c r="H11" s="11"/>
      <c r="I11" s="11" t="s">
        <v>537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 t="s">
        <v>610</v>
      </c>
      <c r="X11"/>
      <c r="Y11"/>
      <c r="Z11"/>
      <c r="AA11" s="317">
        <f>1/G12*(G3-AA20)</f>
        <v>664.46280991735546</v>
      </c>
      <c r="AB11" t="s">
        <v>619</v>
      </c>
      <c r="AC11"/>
      <c r="AD11"/>
      <c r="AE11"/>
      <c r="AF11"/>
      <c r="AG11"/>
      <c r="AH11"/>
      <c r="AI11"/>
    </row>
    <row r="12" spans="1:35" s="33" customFormat="1" ht="15" customHeight="1" x14ac:dyDescent="0.25">
      <c r="A12" s="5" t="s">
        <v>20</v>
      </c>
      <c r="B12" s="11" t="s">
        <v>90</v>
      </c>
      <c r="D12" s="11"/>
      <c r="E12" s="11"/>
      <c r="F12" s="11"/>
      <c r="G12" s="56">
        <v>7.0000000000000007E-2</v>
      </c>
      <c r="H12" s="5">
        <v>7.0000000000000007E-2</v>
      </c>
      <c r="I12" s="11" t="s">
        <v>537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 s="102" t="s">
        <v>746</v>
      </c>
      <c r="X12" s="102"/>
      <c r="Y12" s="102"/>
      <c r="Z12" s="102"/>
      <c r="AA12" s="317">
        <f>1/Z4*(AA20-AA21)</f>
        <v>664.46280991735534</v>
      </c>
      <c r="AB12" t="s">
        <v>619</v>
      </c>
      <c r="AC12"/>
      <c r="AD12"/>
      <c r="AE12"/>
      <c r="AF12"/>
      <c r="AG12"/>
      <c r="AH12"/>
      <c r="AI12"/>
    </row>
    <row r="13" spans="1:35" s="33" customFormat="1" ht="15" customHeight="1" x14ac:dyDescent="0.25">
      <c r="A13" s="5"/>
      <c r="B13" s="522" t="s">
        <v>681</v>
      </c>
      <c r="C13" s="523"/>
      <c r="D13" s="11" t="s">
        <v>682</v>
      </c>
      <c r="E13" s="352" t="s">
        <v>684</v>
      </c>
      <c r="F13" s="353">
        <f>2+(10*POWER(F14,0.5))</f>
        <v>9.0710678118654755</v>
      </c>
      <c r="G13" s="354" t="s">
        <v>685</v>
      </c>
      <c r="H13" s="355">
        <f>1/F13</f>
        <v>0.1102406046057712</v>
      </c>
      <c r="I13" s="11"/>
      <c r="J13"/>
      <c r="K13"/>
      <c r="L13"/>
      <c r="M13"/>
      <c r="N13"/>
      <c r="O13"/>
      <c r="P13"/>
      <c r="Q13"/>
      <c r="R13"/>
      <c r="S13"/>
      <c r="T13"/>
      <c r="U13"/>
      <c r="V13"/>
      <c r="W13" s="102" t="s">
        <v>747</v>
      </c>
      <c r="X13" s="102"/>
      <c r="Y13" s="102"/>
      <c r="Z13" s="102"/>
      <c r="AA13" s="317">
        <f>1/Z5*(AA21-AA22)</f>
        <v>664.46280991735546</v>
      </c>
      <c r="AB13" t="s">
        <v>619</v>
      </c>
      <c r="AC13"/>
      <c r="AD13"/>
      <c r="AE13"/>
      <c r="AF13"/>
      <c r="AG13"/>
      <c r="AH13"/>
      <c r="AI13"/>
    </row>
    <row r="14" spans="1:35" s="33" customFormat="1" ht="15" customHeight="1" x14ac:dyDescent="0.25">
      <c r="A14" s="5"/>
      <c r="B14" s="312" t="s">
        <v>683</v>
      </c>
      <c r="C14" s="524" t="s">
        <v>264</v>
      </c>
      <c r="D14" s="524"/>
      <c r="E14" s="524"/>
      <c r="F14" s="56">
        <v>0.5</v>
      </c>
      <c r="G14" s="351" t="s">
        <v>170</v>
      </c>
      <c r="H14" s="5"/>
      <c r="I14" s="11"/>
      <c r="J14"/>
      <c r="K14"/>
      <c r="L14"/>
      <c r="M14"/>
      <c r="N14"/>
      <c r="O14"/>
      <c r="P14"/>
      <c r="Q14"/>
      <c r="R14"/>
      <c r="S14"/>
      <c r="T14"/>
      <c r="U14"/>
      <c r="V14"/>
      <c r="W14" s="102" t="s">
        <v>748</v>
      </c>
      <c r="X14" s="102"/>
      <c r="Y14" s="102"/>
      <c r="Z14" s="102"/>
      <c r="AA14" s="317">
        <f>1/Z6*(AA22-AA23)</f>
        <v>664.46280991735534</v>
      </c>
      <c r="AB14" t="s">
        <v>619</v>
      </c>
      <c r="AC14"/>
      <c r="AD14"/>
      <c r="AE14"/>
      <c r="AF14"/>
      <c r="AG14"/>
      <c r="AH14"/>
      <c r="AI14"/>
    </row>
    <row r="15" spans="1:35" s="33" customFormat="1" ht="15" customHeight="1" x14ac:dyDescent="0.25">
      <c r="A15" s="5" t="s">
        <v>19</v>
      </c>
      <c r="B15" s="11" t="s">
        <v>91</v>
      </c>
      <c r="D15" s="11"/>
      <c r="E15" s="11"/>
      <c r="F15" s="11"/>
      <c r="G15" s="56">
        <v>0.125</v>
      </c>
      <c r="H15" s="5">
        <v>0.125</v>
      </c>
      <c r="I15" s="11" t="s">
        <v>537</v>
      </c>
      <c r="J15" t="s">
        <v>686</v>
      </c>
      <c r="L15" t="s">
        <v>688</v>
      </c>
      <c r="M15"/>
      <c r="N15"/>
      <c r="O15"/>
      <c r="P15"/>
      <c r="Q15"/>
      <c r="R15"/>
      <c r="S15"/>
      <c r="T15"/>
      <c r="U15"/>
      <c r="V15"/>
      <c r="W15" s="102" t="s">
        <v>612</v>
      </c>
      <c r="X15" s="102"/>
      <c r="Y15" s="102"/>
      <c r="Z15" s="102"/>
      <c r="AA15" s="317">
        <f>1/G15*(AA24-G5)</f>
        <v>664.46280991735534</v>
      </c>
      <c r="AB15" t="s">
        <v>619</v>
      </c>
      <c r="AC15"/>
      <c r="AD15"/>
      <c r="AE15"/>
      <c r="AF15"/>
      <c r="AG15"/>
      <c r="AH15"/>
      <c r="AI15"/>
    </row>
    <row r="16" spans="1:35" s="33" customFormat="1" ht="15" customHeight="1" x14ac:dyDescent="0.25">
      <c r="A16" s="5"/>
      <c r="B16" s="11"/>
      <c r="D16" s="11"/>
      <c r="E16" s="11"/>
      <c r="F16" s="11"/>
      <c r="G16" s="312"/>
      <c r="H16" s="5">
        <v>4.3999999999999997E-2</v>
      </c>
      <c r="I16" s="11" t="s">
        <v>537</v>
      </c>
      <c r="J16" t="s">
        <v>687</v>
      </c>
      <c r="K16"/>
      <c r="L16" t="s">
        <v>689</v>
      </c>
      <c r="M16"/>
      <c r="N16"/>
      <c r="O16"/>
      <c r="P16"/>
      <c r="Q16"/>
      <c r="R16"/>
      <c r="S16"/>
      <c r="T16"/>
      <c r="U16"/>
      <c r="V16"/>
      <c r="W16" s="102" t="s">
        <v>616</v>
      </c>
      <c r="X16" s="102"/>
      <c r="Y16" s="102"/>
      <c r="Z16" s="102"/>
      <c r="AA16" s="317">
        <f>O6</f>
        <v>664.46280991735534</v>
      </c>
      <c r="AB16" t="s">
        <v>619</v>
      </c>
      <c r="AC16"/>
      <c r="AD16"/>
      <c r="AE16"/>
      <c r="AF16"/>
      <c r="AG16"/>
      <c r="AH16"/>
      <c r="AI16"/>
    </row>
    <row r="17" spans="1:35" s="33" customFormat="1" ht="15" customHeight="1" thickBot="1" x14ac:dyDescent="0.55000000000000004">
      <c r="A17" s="70" t="s">
        <v>0</v>
      </c>
      <c r="B17" s="12"/>
      <c r="C17" s="12"/>
      <c r="D17" s="12"/>
      <c r="E17" s="12"/>
      <c r="F17" s="12"/>
      <c r="G17" s="12"/>
      <c r="H17" s="12"/>
      <c r="I17" s="12"/>
      <c r="J17"/>
      <c r="W17" s="102"/>
      <c r="X17" s="102"/>
      <c r="Y17" s="102"/>
      <c r="Z17" s="102"/>
      <c r="AA17"/>
      <c r="AB17"/>
      <c r="AC17"/>
      <c r="AD17"/>
      <c r="AE17"/>
      <c r="AF17"/>
      <c r="AG17"/>
      <c r="AH17"/>
      <c r="AI17"/>
    </row>
    <row r="18" spans="1:35" s="33" customFormat="1" ht="27" customHeight="1" thickBot="1" x14ac:dyDescent="0.3">
      <c r="A18" s="518" t="s">
        <v>525</v>
      </c>
      <c r="B18" s="501" t="s">
        <v>527</v>
      </c>
      <c r="C18" s="501" t="s">
        <v>526</v>
      </c>
      <c r="D18" s="501"/>
      <c r="E18" s="501"/>
      <c r="F18" s="501"/>
      <c r="G18" s="501"/>
      <c r="H18" s="501" t="s">
        <v>528</v>
      </c>
      <c r="I18" s="511"/>
      <c r="J18"/>
      <c r="K18" s="322" t="s">
        <v>630</v>
      </c>
      <c r="L18" s="115"/>
      <c r="M18" s="115"/>
      <c r="N18" s="115"/>
      <c r="O18" s="323">
        <f>G3-(M8*G12*(G3-G5))</f>
        <v>377.48760330578511</v>
      </c>
      <c r="P18" s="115" t="s">
        <v>10</v>
      </c>
      <c r="Q18" s="115" t="s">
        <v>631</v>
      </c>
      <c r="R18" s="115"/>
      <c r="S18" s="115"/>
      <c r="T18" s="115"/>
      <c r="U18" s="323">
        <f>G3-((T9/G6)*G12*(G3-G5))</f>
        <v>368.18546606731621</v>
      </c>
      <c r="V18" s="115" t="s">
        <v>10</v>
      </c>
      <c r="W18" s="316" t="s">
        <v>615</v>
      </c>
      <c r="X18" s="314"/>
      <c r="Y18" s="318">
        <f>M8</f>
        <v>1.6528925619834711</v>
      </c>
      <c r="Z18" s="319" t="s">
        <v>625</v>
      </c>
      <c r="AC18"/>
      <c r="AD18"/>
      <c r="AE18"/>
      <c r="AF18"/>
      <c r="AG18"/>
      <c r="AH18"/>
      <c r="AI18"/>
    </row>
    <row r="19" spans="1:35" s="33" customFormat="1" ht="27" customHeight="1" thickTop="1" thickBot="1" x14ac:dyDescent="0.3">
      <c r="A19" s="519"/>
      <c r="B19" s="512"/>
      <c r="C19" s="502" t="s">
        <v>544</v>
      </c>
      <c r="D19" s="502"/>
      <c r="E19" s="502"/>
      <c r="F19" s="502"/>
      <c r="G19" s="502"/>
      <c r="H19" s="512"/>
      <c r="I19" s="513"/>
      <c r="J19"/>
      <c r="K19" s="115" t="s">
        <v>613</v>
      </c>
      <c r="L19" s="115"/>
      <c r="M19" s="115"/>
      <c r="N19" s="324"/>
      <c r="O19" s="323">
        <f>G5+((1/(G12+G8+G15))*G15)*(G3-G5)</f>
        <v>105.05785123966942</v>
      </c>
      <c r="P19" s="115" t="s">
        <v>10</v>
      </c>
      <c r="Q19" s="322" t="s">
        <v>627</v>
      </c>
      <c r="R19" s="115"/>
      <c r="S19" s="115"/>
      <c r="T19" s="115"/>
      <c r="U19" s="323">
        <f>G5+((T9/G7)*G15*(G3-G5))</f>
        <v>93.192007567198729</v>
      </c>
      <c r="V19" s="115" t="s">
        <v>10</v>
      </c>
      <c r="AC19"/>
      <c r="AD19"/>
      <c r="AE19"/>
      <c r="AF19"/>
      <c r="AG19"/>
      <c r="AH19"/>
      <c r="AI19"/>
    </row>
    <row r="20" spans="1:35" s="33" customFormat="1" ht="15" customHeight="1" thickBot="1" x14ac:dyDescent="0.3">
      <c r="A20" s="5"/>
      <c r="B20" s="11"/>
      <c r="D20" s="11"/>
      <c r="E20" s="11"/>
      <c r="F20" s="11"/>
      <c r="G20" s="11"/>
      <c r="H20" s="11"/>
      <c r="I20" s="11"/>
      <c r="J20"/>
      <c r="K20" s="115" t="s">
        <v>614</v>
      </c>
      <c r="L20" s="115"/>
      <c r="M20" s="115"/>
      <c r="N20" s="324"/>
      <c r="O20" s="323">
        <f>G5+G15/(G12+G8+G15)*(G3-G5)</f>
        <v>105.05785123966942</v>
      </c>
      <c r="P20" s="115" t="s">
        <v>10</v>
      </c>
      <c r="Q20" s="115"/>
      <c r="R20" s="115"/>
      <c r="S20" s="115"/>
      <c r="T20" s="324"/>
      <c r="U20" s="324"/>
      <c r="V20" s="115"/>
      <c r="W20" s="322" t="s">
        <v>630</v>
      </c>
      <c r="X20" s="115"/>
      <c r="Y20" s="115"/>
      <c r="Z20" s="115"/>
      <c r="AA20" s="323">
        <f>O18</f>
        <v>377.48760330578511</v>
      </c>
      <c r="AB20" s="115" t="s">
        <v>10</v>
      </c>
      <c r="AC20"/>
      <c r="AD20"/>
      <c r="AE20"/>
      <c r="AF20"/>
      <c r="AG20"/>
      <c r="AH20"/>
      <c r="AI20"/>
    </row>
    <row r="21" spans="1:35" s="31" customFormat="1" ht="27.75" customHeight="1" thickBot="1" x14ac:dyDescent="0.45">
      <c r="A21" s="289"/>
      <c r="B21" s="288" t="s">
        <v>525</v>
      </c>
      <c r="C21" s="505">
        <f>G3-(G12/(G12+G8+(G6/G7*(G10+G11+G15)))*(G3-G5))</f>
        <v>374.56963613550818</v>
      </c>
      <c r="D21" s="505"/>
      <c r="E21" s="505"/>
      <c r="F21" s="445" t="s">
        <v>10</v>
      </c>
      <c r="G21" s="446"/>
      <c r="H21" s="285"/>
      <c r="I21" s="286"/>
      <c r="W21" s="388" t="s">
        <v>749</v>
      </c>
      <c r="X21" s="115"/>
      <c r="Y21" s="115"/>
      <c r="Z21" s="115"/>
      <c r="AA21" s="323">
        <f>AA20-((Y18*Z4)*(G3-G5))</f>
        <v>168.18181818181816</v>
      </c>
      <c r="AB21" s="115" t="s">
        <v>10</v>
      </c>
    </row>
    <row r="22" spans="1:35" ht="15" customHeight="1" x14ac:dyDescent="0.25">
      <c r="A22" s="282"/>
      <c r="W22" s="388" t="s">
        <v>750</v>
      </c>
      <c r="X22" s="115"/>
      <c r="Y22" s="115"/>
      <c r="Z22" s="115"/>
      <c r="AA22" s="323">
        <f>AA21-((Y18*Z5)*(G3-G5))</f>
        <v>93.097520661156992</v>
      </c>
      <c r="AB22" s="115" t="s">
        <v>10</v>
      </c>
    </row>
    <row r="23" spans="1:35" ht="15" customHeight="1" thickBot="1" x14ac:dyDescent="0.55000000000000004">
      <c r="A23" s="70" t="s">
        <v>0</v>
      </c>
      <c r="B23" s="298" t="s">
        <v>560</v>
      </c>
      <c r="C23" s="12"/>
      <c r="D23" s="12"/>
      <c r="E23" s="12"/>
      <c r="F23" s="12"/>
      <c r="G23" s="12"/>
      <c r="H23" s="12"/>
      <c r="I23" s="12"/>
      <c r="W23" s="388" t="s">
        <v>751</v>
      </c>
      <c r="X23" s="115"/>
      <c r="Y23" s="115"/>
      <c r="Z23" s="115"/>
      <c r="AA23" s="323">
        <f>AA22-((Y18*Z6)*(G3-G5))</f>
        <v>-571.36528925619837</v>
      </c>
      <c r="AB23" s="115" t="s">
        <v>10</v>
      </c>
    </row>
    <row r="24" spans="1:35" ht="27" customHeight="1" thickBot="1" x14ac:dyDescent="0.3">
      <c r="A24" s="499" t="s">
        <v>553</v>
      </c>
      <c r="B24" s="503" t="s">
        <v>558</v>
      </c>
      <c r="C24" s="501" t="s">
        <v>554</v>
      </c>
      <c r="D24" s="501"/>
      <c r="E24" s="501"/>
      <c r="F24" s="501"/>
      <c r="G24" s="501"/>
      <c r="H24" s="501" t="s">
        <v>557</v>
      </c>
      <c r="I24" s="501"/>
      <c r="J24" s="511"/>
      <c r="Q24" s="334"/>
      <c r="W24" s="115" t="s">
        <v>613</v>
      </c>
      <c r="X24" s="115"/>
      <c r="Y24" s="115"/>
      <c r="Z24" s="324"/>
      <c r="AA24" s="323">
        <f>O19</f>
        <v>105.05785123966942</v>
      </c>
      <c r="AB24" s="115" t="s">
        <v>10</v>
      </c>
    </row>
    <row r="25" spans="1:35" ht="27" customHeight="1" thickTop="1" thickBot="1" x14ac:dyDescent="0.3">
      <c r="A25" s="500"/>
      <c r="B25" s="504"/>
      <c r="C25" s="502" t="s">
        <v>559</v>
      </c>
      <c r="D25" s="502"/>
      <c r="E25" s="502"/>
      <c r="F25" s="502"/>
      <c r="G25" s="502"/>
      <c r="H25" s="512"/>
      <c r="I25" s="512"/>
      <c r="J25" s="513"/>
      <c r="W25" s="115" t="s">
        <v>614</v>
      </c>
      <c r="X25" s="115"/>
      <c r="Y25" s="115"/>
      <c r="Z25" s="324"/>
      <c r="AA25" s="323">
        <f>O20</f>
        <v>105.05785123966942</v>
      </c>
      <c r="AB25" s="115" t="s">
        <v>10</v>
      </c>
    </row>
    <row r="26" spans="1:35" ht="15" customHeight="1" thickBot="1" x14ac:dyDescent="0.3">
      <c r="A26" s="282"/>
      <c r="B26" s="297"/>
    </row>
    <row r="27" spans="1:35" s="31" customFormat="1" ht="27.75" customHeight="1" thickBot="1" x14ac:dyDescent="0.45">
      <c r="A27" s="289"/>
      <c r="B27" s="288" t="s">
        <v>553</v>
      </c>
      <c r="C27" s="505">
        <f>((G12+G8+(G10*G6/G7))/((G11*G6/G7)+(G6/G7*G15))*(G4-G5))+G4</f>
        <v>423.68799999999999</v>
      </c>
      <c r="D27" s="505"/>
      <c r="E27" s="505"/>
      <c r="F27" s="445" t="s">
        <v>10</v>
      </c>
      <c r="G27" s="446"/>
      <c r="H27" s="285"/>
      <c r="I27" s="286"/>
    </row>
    <row r="28" spans="1:35" ht="15" customHeight="1" x14ac:dyDescent="0.25">
      <c r="A28" s="282"/>
    </row>
    <row r="29" spans="1:35" ht="15" customHeight="1" thickBot="1" x14ac:dyDescent="0.55000000000000004">
      <c r="A29" s="70" t="s">
        <v>0</v>
      </c>
      <c r="B29" s="298" t="s">
        <v>607</v>
      </c>
      <c r="C29" s="12"/>
      <c r="D29" s="12"/>
      <c r="E29" s="12"/>
      <c r="F29" s="12"/>
      <c r="G29" s="12"/>
      <c r="H29" s="12"/>
      <c r="I29" s="12"/>
    </row>
    <row r="30" spans="1:35" ht="55.5" customHeight="1" x14ac:dyDescent="0.25">
      <c r="A30" s="499" t="s">
        <v>608</v>
      </c>
      <c r="B30" s="514"/>
      <c r="C30" s="514"/>
      <c r="D30" s="514"/>
      <c r="E30" s="514"/>
      <c r="F30" s="514"/>
      <c r="G30" s="514"/>
      <c r="H30" s="514"/>
      <c r="I30" s="514"/>
      <c r="J30" s="515"/>
    </row>
    <row r="31" spans="1:35" ht="55.5" customHeight="1" thickBot="1" x14ac:dyDescent="0.3">
      <c r="A31" s="500"/>
      <c r="B31" s="516"/>
      <c r="C31" s="516"/>
      <c r="D31" s="516"/>
      <c r="E31" s="516"/>
      <c r="F31" s="516"/>
      <c r="G31" s="516"/>
      <c r="H31" s="516"/>
      <c r="I31" s="516"/>
      <c r="J31" s="517"/>
    </row>
    <row r="32" spans="1:35" ht="15" customHeight="1" thickBot="1" x14ac:dyDescent="0.3">
      <c r="A32" s="282"/>
      <c r="B32" s="297"/>
    </row>
    <row r="33" spans="1:35" s="31" customFormat="1" ht="27.75" customHeight="1" thickBot="1" x14ac:dyDescent="0.45">
      <c r="A33" s="289"/>
      <c r="B33" s="288" t="s">
        <v>553</v>
      </c>
      <c r="C33" s="505">
        <f>((G12+G8+(G10*(G6/G7)))/((G11+G15)*(G6/G7))*G5+G3)/((G12+G8+(G10*(G6/G7)))/((G11+G15)*(G6/G7))+1)</f>
        <v>85.048933500627356</v>
      </c>
      <c r="D33" s="505"/>
      <c r="E33" s="505"/>
      <c r="F33" s="445" t="s">
        <v>10</v>
      </c>
      <c r="G33" s="446"/>
      <c r="H33" s="285"/>
      <c r="I33" s="286"/>
    </row>
    <row r="34" spans="1:35" ht="15" customHeight="1" x14ac:dyDescent="0.25">
      <c r="A34" s="282"/>
    </row>
    <row r="35" spans="1:35" s="33" customFormat="1" ht="15" customHeight="1" thickBot="1" x14ac:dyDescent="0.55000000000000004">
      <c r="A35" s="70" t="s">
        <v>0</v>
      </c>
      <c r="B35" s="12"/>
      <c r="C35" s="12"/>
      <c r="D35" s="12"/>
      <c r="E35" s="12"/>
      <c r="F35" s="12"/>
      <c r="G35" s="12"/>
      <c r="H35" s="12"/>
      <c r="I35" s="1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33" customFormat="1" ht="27" customHeight="1" thickBot="1" x14ac:dyDescent="0.3">
      <c r="A36" s="518" t="s">
        <v>542</v>
      </c>
      <c r="B36" s="501" t="s">
        <v>543</v>
      </c>
      <c r="C36" s="501" t="s">
        <v>549</v>
      </c>
      <c r="D36" s="501"/>
      <c r="E36" s="501"/>
      <c r="F36" s="501"/>
      <c r="G36" s="501"/>
      <c r="H36" s="501" t="s">
        <v>548</v>
      </c>
      <c r="I36" s="51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33" customFormat="1" ht="27" customHeight="1" thickTop="1" thickBot="1" x14ac:dyDescent="0.3">
      <c r="A37" s="519"/>
      <c r="B37" s="512"/>
      <c r="C37" s="502" t="s">
        <v>546</v>
      </c>
      <c r="D37" s="502"/>
      <c r="E37" s="502"/>
      <c r="F37" s="502"/>
      <c r="G37" s="502"/>
      <c r="H37" s="512"/>
      <c r="I37" s="51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33" customFormat="1" ht="11.25" customHeight="1" thickBot="1" x14ac:dyDescent="0.3">
      <c r="A38" s="283"/>
      <c r="B38" s="283"/>
      <c r="C38" s="284"/>
      <c r="D38" s="284"/>
      <c r="E38" s="284"/>
      <c r="F38" s="284"/>
      <c r="G38" s="284"/>
      <c r="H38" s="283"/>
      <c r="I38" s="28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31" customFormat="1" ht="27.75" customHeight="1" thickBot="1" x14ac:dyDescent="0.45">
      <c r="A39" s="289"/>
      <c r="B39" s="288" t="s">
        <v>542</v>
      </c>
      <c r="C39" s="505">
        <f>C21-((G6/G7*G8)/(G12+G8+(G6/G7*G15))*(G3-G5))</f>
        <v>167.76913425345046</v>
      </c>
      <c r="D39" s="505"/>
      <c r="E39" s="505"/>
      <c r="F39" s="445" t="s">
        <v>10</v>
      </c>
      <c r="G39" s="446"/>
      <c r="H39" s="285"/>
      <c r="I39" s="286"/>
      <c r="J39" s="292"/>
    </row>
    <row r="40" spans="1:35" ht="15.75" customHeight="1" x14ac:dyDescent="0.25"/>
    <row r="41" spans="1:35" s="291" customFormat="1" ht="15" customHeight="1" thickBot="1" x14ac:dyDescent="0.3">
      <c r="A41" s="70" t="s">
        <v>0</v>
      </c>
      <c r="B41" s="510" t="s">
        <v>550</v>
      </c>
      <c r="C41" s="510"/>
      <c r="D41" s="510"/>
      <c r="E41" s="510"/>
      <c r="F41" s="510"/>
      <c r="G41" s="510"/>
      <c r="H41" s="510"/>
      <c r="I41" s="290"/>
    </row>
    <row r="42" spans="1:35" s="33" customFormat="1" ht="27" customHeight="1" thickBot="1" x14ac:dyDescent="0.3">
      <c r="A42" s="518" t="s">
        <v>542</v>
      </c>
      <c r="B42" s="506" t="s">
        <v>545</v>
      </c>
      <c r="C42" s="506"/>
      <c r="D42" s="506"/>
      <c r="E42" s="506"/>
      <c r="F42" s="506"/>
      <c r="G42" s="506"/>
      <c r="H42" s="506"/>
      <c r="I42" s="50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33" customFormat="1" ht="27" customHeight="1" thickBot="1" x14ac:dyDescent="0.3">
      <c r="A43" s="519"/>
      <c r="B43" s="508" t="s">
        <v>547</v>
      </c>
      <c r="C43" s="508"/>
      <c r="D43" s="508"/>
      <c r="E43" s="508"/>
      <c r="F43" s="508"/>
      <c r="G43" s="508"/>
      <c r="H43" s="508"/>
      <c r="I43" s="509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33" customFormat="1" ht="11.25" customHeight="1" thickBot="1" x14ac:dyDescent="0.3">
      <c r="A44" s="283"/>
      <c r="B44" s="283"/>
      <c r="C44" s="284"/>
      <c r="D44" s="284"/>
      <c r="E44" s="284"/>
      <c r="F44" s="284"/>
      <c r="G44" s="284"/>
      <c r="H44" s="283"/>
      <c r="I44" s="283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31" customFormat="1" ht="27.75" customHeight="1" thickBot="1" x14ac:dyDescent="0.45">
      <c r="A45" s="289"/>
      <c r="B45" s="288" t="s">
        <v>542</v>
      </c>
      <c r="C45" s="505">
        <f>(G3+(G5*((G12+G8)/((G6/G7)*G15))))/(1+((G12+G8)/((G6/G7)*G15)))</f>
        <v>85.048933500627356</v>
      </c>
      <c r="D45" s="505"/>
      <c r="E45" s="505"/>
      <c r="F45" s="445" t="s">
        <v>10</v>
      </c>
      <c r="G45" s="446"/>
      <c r="H45" s="285"/>
      <c r="I45" s="286"/>
    </row>
  </sheetData>
  <mergeCells count="42">
    <mergeCell ref="B7:F7"/>
    <mergeCell ref="B8:F8"/>
    <mergeCell ref="B10:F10"/>
    <mergeCell ref="B11:F11"/>
    <mergeCell ref="C21:E21"/>
    <mergeCell ref="B9:F9"/>
    <mergeCell ref="B13:C13"/>
    <mergeCell ref="C14:E14"/>
    <mergeCell ref="A1:I1"/>
    <mergeCell ref="A42:A43"/>
    <mergeCell ref="B3:F3"/>
    <mergeCell ref="B5:F5"/>
    <mergeCell ref="A36:A37"/>
    <mergeCell ref="B36:B37"/>
    <mergeCell ref="C36:G36"/>
    <mergeCell ref="F21:G21"/>
    <mergeCell ref="A18:A19"/>
    <mergeCell ref="B18:B19"/>
    <mergeCell ref="H18:I19"/>
    <mergeCell ref="C19:G19"/>
    <mergeCell ref="C18:G18"/>
    <mergeCell ref="C39:E39"/>
    <mergeCell ref="F39:G39"/>
    <mergeCell ref="B6:F6"/>
    <mergeCell ref="H36:I37"/>
    <mergeCell ref="C37:G37"/>
    <mergeCell ref="C27:E27"/>
    <mergeCell ref="F27:G27"/>
    <mergeCell ref="H24:J25"/>
    <mergeCell ref="C33:E33"/>
    <mergeCell ref="F33:G33"/>
    <mergeCell ref="B30:J31"/>
    <mergeCell ref="C45:E45"/>
    <mergeCell ref="F45:G45"/>
    <mergeCell ref="B42:I42"/>
    <mergeCell ref="B43:I43"/>
    <mergeCell ref="B41:H41"/>
    <mergeCell ref="A24:A25"/>
    <mergeCell ref="C24:G24"/>
    <mergeCell ref="C25:G25"/>
    <mergeCell ref="B24:B25"/>
    <mergeCell ref="A30:A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0" workbookViewId="0">
      <selection activeCell="B12" sqref="B12:D12"/>
    </sheetView>
  </sheetViews>
  <sheetFormatPr defaultRowHeight="15" x14ac:dyDescent="0.25"/>
  <cols>
    <col min="1" max="9" width="9.140625" style="115"/>
  </cols>
  <sheetData>
    <row r="1" spans="1:9" ht="34.5" thickBot="1" x14ac:dyDescent="0.3">
      <c r="A1" s="525" t="s">
        <v>261</v>
      </c>
      <c r="B1" s="526"/>
      <c r="C1" s="526"/>
      <c r="D1" s="526"/>
      <c r="E1" s="526"/>
      <c r="F1" s="526"/>
      <c r="G1" s="526"/>
      <c r="H1" s="526"/>
      <c r="I1" s="527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ht="26.25" x14ac:dyDescent="0.25">
      <c r="A3" s="191" t="s">
        <v>0</v>
      </c>
      <c r="B3" s="528" t="s">
        <v>262</v>
      </c>
      <c r="C3" s="528"/>
      <c r="D3" s="528"/>
      <c r="E3" s="528"/>
      <c r="F3" s="190" t="s">
        <v>11</v>
      </c>
    </row>
    <row r="4" spans="1:9" ht="18" customHeight="1" x14ac:dyDescent="0.25">
      <c r="B4" s="164" t="s">
        <v>1</v>
      </c>
      <c r="C4" s="540" t="s">
        <v>386</v>
      </c>
      <c r="D4" s="540"/>
      <c r="E4" s="540"/>
      <c r="F4" s="540"/>
      <c r="G4" s="540"/>
      <c r="H4" s="115" t="s">
        <v>3</v>
      </c>
    </row>
    <row r="5" spans="1:9" ht="18" customHeight="1" x14ac:dyDescent="0.25">
      <c r="B5" s="164" t="s">
        <v>2</v>
      </c>
      <c r="C5" s="540" t="s">
        <v>387</v>
      </c>
      <c r="D5" s="540"/>
      <c r="E5" s="540"/>
      <c r="F5" s="540"/>
      <c r="G5" s="540"/>
      <c r="H5" s="115" t="s">
        <v>377</v>
      </c>
    </row>
    <row r="6" spans="1:9" ht="18" customHeight="1" x14ac:dyDescent="0.25">
      <c r="B6" s="67" t="s">
        <v>381</v>
      </c>
      <c r="C6" s="540" t="s">
        <v>388</v>
      </c>
      <c r="D6" s="540"/>
      <c r="E6" s="540"/>
      <c r="F6" s="540"/>
      <c r="G6" s="540"/>
      <c r="H6" s="115" t="s">
        <v>378</v>
      </c>
    </row>
    <row r="7" spans="1:9" ht="18" customHeight="1" x14ac:dyDescent="0.25">
      <c r="C7" s="538" t="s">
        <v>382</v>
      </c>
      <c r="D7" s="539"/>
      <c r="E7" s="541" t="s">
        <v>5</v>
      </c>
      <c r="F7" s="541"/>
    </row>
    <row r="8" spans="1:9" ht="10.5" customHeight="1" x14ac:dyDescent="0.25"/>
    <row r="9" spans="1:9" ht="18" customHeight="1" x14ac:dyDescent="0.25">
      <c r="A9" s="191" t="s">
        <v>212</v>
      </c>
      <c r="B9" s="529" t="s">
        <v>9</v>
      </c>
      <c r="C9" s="529"/>
      <c r="D9" s="109">
        <v>7</v>
      </c>
      <c r="E9" s="110" t="s">
        <v>3</v>
      </c>
    </row>
    <row r="10" spans="1:9" ht="18" customHeight="1" x14ac:dyDescent="0.25">
      <c r="B10" s="529" t="s">
        <v>384</v>
      </c>
      <c r="C10" s="529"/>
      <c r="D10" s="109">
        <v>30</v>
      </c>
      <c r="E10" s="110" t="s">
        <v>10</v>
      </c>
    </row>
    <row r="11" spans="1:9" ht="18" customHeight="1" x14ac:dyDescent="0.25">
      <c r="B11" s="542" t="s">
        <v>181</v>
      </c>
      <c r="C11" s="542"/>
      <c r="D11" s="175">
        <v>120</v>
      </c>
      <c r="E11" s="174" t="s">
        <v>10</v>
      </c>
    </row>
    <row r="12" spans="1:9" ht="18" customHeight="1" x14ac:dyDescent="0.25">
      <c r="B12" s="530" t="s">
        <v>383</v>
      </c>
      <c r="C12" s="531"/>
      <c r="D12" s="532"/>
      <c r="E12" s="188">
        <f>E15*(273/(273+D10))</f>
        <v>1.164980198019802</v>
      </c>
      <c r="F12" s="174" t="s">
        <v>378</v>
      </c>
      <c r="G12" s="187" t="s">
        <v>385</v>
      </c>
      <c r="H12" s="189">
        <f>E12-E13</f>
        <v>0.26262141939384775</v>
      </c>
      <c r="I12" s="110" t="s">
        <v>378</v>
      </c>
    </row>
    <row r="13" spans="1:9" s="115" customFormat="1" ht="18" customHeight="1" x14ac:dyDescent="0.25">
      <c r="A13" s="192"/>
      <c r="B13" s="530" t="s">
        <v>379</v>
      </c>
      <c r="C13" s="531"/>
      <c r="D13" s="532"/>
      <c r="E13" s="188">
        <f>E16*(273/(273+D11))</f>
        <v>0.90235877862595426</v>
      </c>
      <c r="F13" s="174" t="s">
        <v>378</v>
      </c>
    </row>
    <row r="14" spans="1:9" s="115" customFormat="1" ht="18" customHeight="1" x14ac:dyDescent="0.25">
      <c r="B14" s="176"/>
      <c r="C14" s="533" t="s">
        <v>375</v>
      </c>
      <c r="D14" s="534"/>
      <c r="E14" s="535" t="s">
        <v>380</v>
      </c>
      <c r="F14" s="536"/>
      <c r="G14" s="537"/>
    </row>
    <row r="15" spans="1:9" s="115" customFormat="1" ht="18" customHeight="1" x14ac:dyDescent="0.25">
      <c r="A15" s="258"/>
      <c r="B15" s="543" t="s">
        <v>552</v>
      </c>
      <c r="C15" s="543"/>
      <c r="D15" s="544"/>
      <c r="E15" s="294">
        <v>1.2929999999999999</v>
      </c>
      <c r="F15" s="174" t="s">
        <v>378</v>
      </c>
      <c r="G15" s="295"/>
    </row>
    <row r="16" spans="1:9" s="115" customFormat="1" ht="18" customHeight="1" x14ac:dyDescent="0.25">
      <c r="A16" s="258"/>
      <c r="B16" s="543" t="s">
        <v>551</v>
      </c>
      <c r="C16" s="543"/>
      <c r="D16" s="544"/>
      <c r="E16" s="182">
        <v>1.2989999999999999</v>
      </c>
      <c r="F16" s="183">
        <v>1.2989999999999999</v>
      </c>
      <c r="G16" s="178" t="s">
        <v>378</v>
      </c>
      <c r="H16" s="178" t="s">
        <v>371</v>
      </c>
      <c r="I16" s="179"/>
    </row>
    <row r="17" spans="1:9" s="115" customFormat="1" ht="18" customHeight="1" x14ac:dyDescent="0.25">
      <c r="E17" s="184"/>
      <c r="F17" s="185">
        <v>1.399</v>
      </c>
      <c r="G17" s="180" t="s">
        <v>378</v>
      </c>
      <c r="H17" s="180" t="s">
        <v>372</v>
      </c>
      <c r="I17" s="181"/>
    </row>
    <row r="18" spans="1:9" ht="10.5" customHeight="1" thickBot="1" x14ac:dyDescent="0.3">
      <c r="B18"/>
      <c r="G18"/>
      <c r="H18"/>
      <c r="I18"/>
    </row>
    <row r="19" spans="1:9" s="8" customFormat="1" ht="27" thickBot="1" x14ac:dyDescent="0.35">
      <c r="A19" s="168" t="s">
        <v>7</v>
      </c>
      <c r="B19" s="169" t="s">
        <v>8</v>
      </c>
      <c r="C19" s="545">
        <f>D9*9.81*(E12-E13)</f>
        <v>18.034212869775526</v>
      </c>
      <c r="D19" s="545"/>
      <c r="E19" s="170" t="s">
        <v>11</v>
      </c>
      <c r="F19" s="167"/>
      <c r="G19" s="167"/>
      <c r="H19" s="167"/>
      <c r="I19" s="167"/>
    </row>
    <row r="20" spans="1:9" ht="15.75" thickBot="1" x14ac:dyDescent="0.3"/>
    <row r="21" spans="1:9" ht="34.5" thickBot="1" x14ac:dyDescent="0.3">
      <c r="A21" s="546" t="s">
        <v>263</v>
      </c>
      <c r="B21" s="547"/>
      <c r="C21" s="547"/>
      <c r="D21" s="547"/>
      <c r="E21" s="547"/>
      <c r="F21" s="547"/>
      <c r="G21" s="547"/>
      <c r="H21" s="547"/>
      <c r="I21" s="548"/>
    </row>
    <row r="22" spans="1:9" ht="10.5" customHeight="1" x14ac:dyDescent="0.25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9" ht="26.25" x14ac:dyDescent="0.25">
      <c r="A23" s="191" t="s">
        <v>0</v>
      </c>
      <c r="B23" s="528" t="s">
        <v>305</v>
      </c>
      <c r="C23" s="528"/>
      <c r="D23" s="528"/>
      <c r="E23" s="528"/>
      <c r="F23" s="190" t="s">
        <v>11</v>
      </c>
    </row>
    <row r="24" spans="1:9" ht="18" customHeight="1" x14ac:dyDescent="0.25">
      <c r="B24" s="164" t="s">
        <v>208</v>
      </c>
      <c r="C24" s="115" t="s">
        <v>264</v>
      </c>
      <c r="H24" s="115" t="s">
        <v>170</v>
      </c>
    </row>
    <row r="25" spans="1:9" ht="18" customHeight="1" x14ac:dyDescent="0.25">
      <c r="B25" s="67" t="s">
        <v>265</v>
      </c>
      <c r="C25" s="115" t="s">
        <v>266</v>
      </c>
      <c r="H25" s="115" t="s">
        <v>378</v>
      </c>
    </row>
    <row r="26" spans="1:9" ht="18" customHeight="1" x14ac:dyDescent="0.25">
      <c r="B26" s="164" t="s">
        <v>267</v>
      </c>
      <c r="C26" s="115" t="s">
        <v>268</v>
      </c>
      <c r="H26" s="115" t="s">
        <v>269</v>
      </c>
    </row>
    <row r="27" spans="1:9" ht="18" customHeight="1" x14ac:dyDescent="0.25"/>
    <row r="28" spans="1:9" ht="18" customHeight="1" x14ac:dyDescent="0.25">
      <c r="A28" s="166" t="s">
        <v>212</v>
      </c>
      <c r="B28" s="529" t="s">
        <v>271</v>
      </c>
      <c r="C28" s="529"/>
      <c r="D28" s="171">
        <v>70</v>
      </c>
      <c r="E28" s="110" t="s">
        <v>389</v>
      </c>
      <c r="F28" s="165" t="s">
        <v>390</v>
      </c>
      <c r="G28" s="196">
        <f>D28/3600</f>
        <v>1.9444444444444445E-2</v>
      </c>
      <c r="H28" s="110" t="s">
        <v>204</v>
      </c>
    </row>
    <row r="29" spans="1:9" ht="18" customHeight="1" x14ac:dyDescent="0.25">
      <c r="A29" s="166"/>
      <c r="B29" s="172" t="s">
        <v>273</v>
      </c>
      <c r="C29" s="173">
        <v>0.15</v>
      </c>
      <c r="D29" s="174" t="s">
        <v>3</v>
      </c>
      <c r="F29" s="193"/>
      <c r="G29" s="194"/>
      <c r="H29" s="195"/>
    </row>
    <row r="30" spans="1:9" ht="18" customHeight="1" x14ac:dyDescent="0.25">
      <c r="A30" s="166"/>
      <c r="B30" s="108" t="s">
        <v>274</v>
      </c>
      <c r="C30" s="171">
        <v>0.2</v>
      </c>
      <c r="D30" s="171">
        <v>0.2</v>
      </c>
      <c r="E30" s="110" t="s">
        <v>3</v>
      </c>
      <c r="F30" s="193"/>
      <c r="G30" s="194"/>
      <c r="H30" s="195"/>
    </row>
    <row r="31" spans="1:9" ht="18" customHeight="1" x14ac:dyDescent="0.25">
      <c r="A31" s="166"/>
      <c r="B31" s="529" t="s">
        <v>249</v>
      </c>
      <c r="C31" s="529"/>
      <c r="D31" s="196">
        <f>IF(C29&gt;0,3.14*(POWER((C29/2),2)),C30*D30)</f>
        <v>1.7662500000000001E-2</v>
      </c>
      <c r="E31" s="110" t="s">
        <v>392</v>
      </c>
      <c r="F31" s="193"/>
      <c r="G31" s="194"/>
      <c r="H31" s="195"/>
    </row>
    <row r="32" spans="1:9" ht="18" customHeight="1" x14ac:dyDescent="0.25">
      <c r="B32" s="529" t="s">
        <v>270</v>
      </c>
      <c r="C32" s="529"/>
      <c r="D32" s="197">
        <f>G28/D31</f>
        <v>1.1008885743492962</v>
      </c>
      <c r="E32" s="174" t="s">
        <v>170</v>
      </c>
    </row>
    <row r="33" spans="1:9" ht="18" customHeight="1" x14ac:dyDescent="0.25">
      <c r="C33" s="110" t="s">
        <v>255</v>
      </c>
      <c r="D33" s="198" t="s">
        <v>391</v>
      </c>
      <c r="E33" s="199" t="s">
        <v>272</v>
      </c>
      <c r="F33" s="549" t="s">
        <v>271</v>
      </c>
      <c r="G33" s="549"/>
      <c r="H33" s="179" t="s">
        <v>389</v>
      </c>
    </row>
    <row r="34" spans="1:9" ht="18" customHeight="1" x14ac:dyDescent="0.25">
      <c r="E34" s="177" t="s">
        <v>248</v>
      </c>
      <c r="F34" s="550" t="s">
        <v>249</v>
      </c>
      <c r="G34" s="550"/>
      <c r="H34" s="181" t="s">
        <v>3</v>
      </c>
    </row>
    <row r="35" spans="1:9" ht="18" customHeight="1" x14ac:dyDescent="0.25">
      <c r="B35" s="529" t="s">
        <v>275</v>
      </c>
      <c r="C35" s="529"/>
      <c r="D35" s="197">
        <f>(E12+E13)/2</f>
        <v>1.0336694883228781</v>
      </c>
      <c r="E35" s="110" t="s">
        <v>378</v>
      </c>
      <c r="F35" s="551" t="s">
        <v>393</v>
      </c>
      <c r="G35" s="552"/>
    </row>
    <row r="36" spans="1:9" ht="18" customHeight="1" x14ac:dyDescent="0.25">
      <c r="B36" s="529" t="s">
        <v>276</v>
      </c>
      <c r="C36" s="529"/>
      <c r="D36" s="109">
        <v>50</v>
      </c>
      <c r="E36" s="110"/>
    </row>
    <row r="37" spans="1:9" ht="10.5" customHeight="1" thickBot="1" x14ac:dyDescent="0.3"/>
    <row r="38" spans="1:9" ht="27" thickBot="1" x14ac:dyDescent="0.3">
      <c r="A38" s="168" t="s">
        <v>277</v>
      </c>
      <c r="B38" s="169" t="s">
        <v>8</v>
      </c>
      <c r="C38" s="545">
        <f>POWER(D32,2)*D35/2*D36</f>
        <v>31.319039496095691</v>
      </c>
      <c r="D38" s="545"/>
      <c r="E38" s="170" t="s">
        <v>11</v>
      </c>
      <c r="F38" s="167"/>
    </row>
    <row r="45" spans="1:9" ht="18.75" x14ac:dyDescent="0.25">
      <c r="G45" s="167"/>
      <c r="H45" s="167"/>
      <c r="I45" s="167"/>
    </row>
    <row r="46" spans="1:9" ht="18.75" x14ac:dyDescent="0.25">
      <c r="G46" s="167"/>
      <c r="H46" s="167"/>
      <c r="I46" s="167"/>
    </row>
    <row r="47" spans="1:9" ht="18.75" x14ac:dyDescent="0.25">
      <c r="G47" s="167"/>
      <c r="H47" s="167"/>
      <c r="I47" s="167"/>
    </row>
  </sheetData>
  <mergeCells count="28">
    <mergeCell ref="B15:D15"/>
    <mergeCell ref="B36:C36"/>
    <mergeCell ref="C38:D38"/>
    <mergeCell ref="C19:D19"/>
    <mergeCell ref="A21:I21"/>
    <mergeCell ref="B23:E23"/>
    <mergeCell ref="B32:C32"/>
    <mergeCell ref="B31:C31"/>
    <mergeCell ref="F33:G33"/>
    <mergeCell ref="F34:G34"/>
    <mergeCell ref="F35:G35"/>
    <mergeCell ref="B35:C35"/>
    <mergeCell ref="A1:I1"/>
    <mergeCell ref="B3:E3"/>
    <mergeCell ref="B9:C9"/>
    <mergeCell ref="B10:C10"/>
    <mergeCell ref="B28:C28"/>
    <mergeCell ref="B13:D13"/>
    <mergeCell ref="C14:D14"/>
    <mergeCell ref="E14:G14"/>
    <mergeCell ref="B12:D12"/>
    <mergeCell ref="C7:D7"/>
    <mergeCell ref="C4:G4"/>
    <mergeCell ref="C5:G5"/>
    <mergeCell ref="C6:G6"/>
    <mergeCell ref="E7:F7"/>
    <mergeCell ref="B11:C11"/>
    <mergeCell ref="B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J15" sqref="J15"/>
    </sheetView>
  </sheetViews>
  <sheetFormatPr defaultRowHeight="15" x14ac:dyDescent="0.25"/>
  <cols>
    <col min="1" max="1" width="10" style="115" customWidth="1"/>
    <col min="2" max="2" width="9.140625" style="115"/>
    <col min="3" max="4" width="9.5703125" style="115" bestFit="1" customWidth="1"/>
    <col min="5" max="10" width="9.140625" style="115"/>
  </cols>
  <sheetData>
    <row r="1" spans="1:9" ht="34.5" thickBot="1" x14ac:dyDescent="0.3">
      <c r="A1" s="525" t="s">
        <v>246</v>
      </c>
      <c r="B1" s="526"/>
      <c r="C1" s="526"/>
      <c r="D1" s="526"/>
      <c r="E1" s="526"/>
      <c r="F1" s="526"/>
      <c r="G1" s="526"/>
      <c r="H1" s="526"/>
      <c r="I1" s="527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ht="26.25" x14ac:dyDescent="0.25">
      <c r="A3" s="191" t="s">
        <v>0</v>
      </c>
      <c r="B3" s="528" t="s">
        <v>395</v>
      </c>
      <c r="C3" s="528"/>
      <c r="D3" s="528"/>
      <c r="E3" s="528"/>
      <c r="F3" s="190" t="s">
        <v>170</v>
      </c>
    </row>
    <row r="4" spans="1:9" ht="18" customHeight="1" x14ac:dyDescent="0.25">
      <c r="B4" s="186" t="s">
        <v>394</v>
      </c>
      <c r="C4" s="549" t="s">
        <v>247</v>
      </c>
      <c r="D4" s="549"/>
      <c r="E4" s="115" t="s">
        <v>396</v>
      </c>
    </row>
    <row r="5" spans="1:9" ht="18" customHeight="1" x14ac:dyDescent="0.25">
      <c r="B5" s="186" t="s">
        <v>248</v>
      </c>
      <c r="C5" s="541" t="s">
        <v>249</v>
      </c>
      <c r="D5" s="541"/>
      <c r="E5" s="115" t="s">
        <v>392</v>
      </c>
    </row>
    <row r="6" spans="1:9" ht="18" customHeight="1" x14ac:dyDescent="0.25">
      <c r="B6" s="67"/>
    </row>
    <row r="7" spans="1:9" ht="18" customHeight="1" x14ac:dyDescent="0.25">
      <c r="A7" s="191" t="s">
        <v>212</v>
      </c>
      <c r="B7" s="530" t="s">
        <v>376</v>
      </c>
      <c r="C7" s="569"/>
      <c r="D7" s="570"/>
      <c r="E7" s="208">
        <f>E8*(273/(273+E10))</f>
        <v>0.80803382663847778</v>
      </c>
      <c r="F7" s="174" t="s">
        <v>378</v>
      </c>
    </row>
    <row r="8" spans="1:9" ht="18" customHeight="1" x14ac:dyDescent="0.25">
      <c r="C8" s="566" t="s">
        <v>397</v>
      </c>
      <c r="D8" s="567"/>
      <c r="E8" s="200">
        <v>1.4</v>
      </c>
      <c r="F8" s="183">
        <v>1.2989999999999999</v>
      </c>
      <c r="G8" s="178" t="s">
        <v>378</v>
      </c>
      <c r="H8" s="178" t="s">
        <v>371</v>
      </c>
      <c r="I8" s="179"/>
    </row>
    <row r="9" spans="1:9" ht="18" customHeight="1" x14ac:dyDescent="0.25">
      <c r="C9" s="115" t="s">
        <v>373</v>
      </c>
      <c r="F9" s="185">
        <v>1.399</v>
      </c>
      <c r="G9" s="180" t="s">
        <v>378</v>
      </c>
      <c r="H9" s="180" t="s">
        <v>372</v>
      </c>
      <c r="I9" s="181"/>
    </row>
    <row r="10" spans="1:9" ht="18" customHeight="1" x14ac:dyDescent="0.25">
      <c r="C10" s="533" t="s">
        <v>398</v>
      </c>
      <c r="D10" s="568"/>
      <c r="E10" s="173">
        <v>200</v>
      </c>
      <c r="F10" s="209" t="s">
        <v>374</v>
      </c>
    </row>
    <row r="11" spans="1:9" ht="18" customHeight="1" x14ac:dyDescent="0.25">
      <c r="C11" s="533" t="s">
        <v>375</v>
      </c>
      <c r="D11" s="534"/>
      <c r="E11" s="535" t="s">
        <v>380</v>
      </c>
      <c r="F11" s="536"/>
      <c r="G11" s="537"/>
    </row>
    <row r="12" spans="1:9" ht="18" customHeight="1" x14ac:dyDescent="0.25">
      <c r="B12" s="563" t="s">
        <v>250</v>
      </c>
      <c r="C12" s="563"/>
      <c r="D12" s="210">
        <f>IF(G13&gt;0,G13,IF(E13&gt;0,E13/3600,(IF(E14&gt;0,E14/1000,IF(E15&gt;0,E15/(E7*1000),0)))))</f>
        <v>0.20969969184254902</v>
      </c>
      <c r="E12" s="110" t="s">
        <v>396</v>
      </c>
      <c r="F12" s="211">
        <f>IF(E13&gt;0,E13,D12*3600)</f>
        <v>754.91889063317649</v>
      </c>
      <c r="G12" s="110" t="s">
        <v>389</v>
      </c>
    </row>
    <row r="13" spans="1:9" ht="18" customHeight="1" x14ac:dyDescent="0.25">
      <c r="B13" s="95"/>
      <c r="C13" s="555" t="s">
        <v>250</v>
      </c>
      <c r="D13" s="556"/>
      <c r="E13" s="160">
        <v>0</v>
      </c>
      <c r="F13" s="110" t="s">
        <v>389</v>
      </c>
      <c r="G13" s="3">
        <v>0</v>
      </c>
      <c r="H13" s="110" t="s">
        <v>396</v>
      </c>
    </row>
    <row r="14" spans="1:9" ht="18" customHeight="1" x14ac:dyDescent="0.25">
      <c r="B14" s="95"/>
      <c r="C14" s="555" t="s">
        <v>250</v>
      </c>
      <c r="D14" s="556"/>
      <c r="E14" s="160">
        <v>0</v>
      </c>
      <c r="F14" s="159" t="s">
        <v>224</v>
      </c>
      <c r="G14" s="77"/>
    </row>
    <row r="15" spans="1:9" ht="18" customHeight="1" x14ac:dyDescent="0.25">
      <c r="B15"/>
      <c r="C15" s="555" t="s">
        <v>252</v>
      </c>
      <c r="D15" s="556"/>
      <c r="E15" s="114">
        <f>G15*1000/3600</f>
        <v>169.44444444444446</v>
      </c>
      <c r="F15" s="116" t="s">
        <v>253</v>
      </c>
      <c r="G15" s="114">
        <v>610</v>
      </c>
      <c r="H15" s="4" t="s">
        <v>223</v>
      </c>
    </row>
    <row r="16" spans="1:9" ht="18" customHeight="1" x14ac:dyDescent="0.25">
      <c r="B16" s="563" t="s">
        <v>251</v>
      </c>
      <c r="C16" s="564"/>
      <c r="D16" s="212">
        <f>PI()*POWER((E17/2),2)</f>
        <v>0</v>
      </c>
      <c r="E16" s="112" t="s">
        <v>163</v>
      </c>
      <c r="F16"/>
      <c r="G16"/>
    </row>
    <row r="17" spans="1:11" ht="18" customHeight="1" x14ac:dyDescent="0.25">
      <c r="B17"/>
      <c r="C17" s="565" t="s">
        <v>254</v>
      </c>
      <c r="D17" s="565"/>
      <c r="E17" s="107"/>
      <c r="F17" s="4" t="s">
        <v>3</v>
      </c>
    </row>
    <row r="18" spans="1:11" s="113" customFormat="1" ht="18" customHeight="1" x14ac:dyDescent="0.25">
      <c r="A18" s="201"/>
      <c r="B18" s="563" t="s">
        <v>255</v>
      </c>
      <c r="C18" s="563"/>
      <c r="D18" s="3">
        <v>4</v>
      </c>
      <c r="E18" s="4" t="s">
        <v>170</v>
      </c>
      <c r="F18"/>
      <c r="G18" s="201"/>
      <c r="H18" s="201"/>
      <c r="I18" s="201"/>
      <c r="J18" s="201"/>
    </row>
    <row r="19" spans="1:11" s="113" customFormat="1" ht="10.5" customHeight="1" thickBot="1" x14ac:dyDescent="0.3">
      <c r="A19" s="115"/>
      <c r="B19" s="115"/>
      <c r="C19" s="115"/>
      <c r="D19" s="115"/>
      <c r="E19" s="115"/>
      <c r="F19" s="115"/>
      <c r="G19" s="167"/>
      <c r="H19" s="167"/>
      <c r="I19" s="167"/>
      <c r="J19" s="115"/>
    </row>
    <row r="20" spans="1:11" ht="27" thickBot="1" x14ac:dyDescent="0.3">
      <c r="A20" s="553" t="s">
        <v>270</v>
      </c>
      <c r="B20" s="554"/>
      <c r="C20" s="554" t="s">
        <v>399</v>
      </c>
      <c r="D20" s="554"/>
      <c r="E20" s="554"/>
      <c r="F20" s="554"/>
      <c r="G20" s="545" t="str">
        <f>IF(D16=0,"nic",IF(D12=0,"nic",D12/D16))</f>
        <v>nic</v>
      </c>
      <c r="H20" s="545"/>
      <c r="I20" s="170" t="s">
        <v>170</v>
      </c>
    </row>
    <row r="21" spans="1:11" ht="30" thickBot="1" x14ac:dyDescent="0.3">
      <c r="A21" s="553" t="s">
        <v>401</v>
      </c>
      <c r="B21" s="554"/>
      <c r="C21" s="554" t="s">
        <v>400</v>
      </c>
      <c r="D21" s="554"/>
      <c r="E21" s="554"/>
      <c r="F21" s="554"/>
      <c r="G21" s="558" t="str">
        <f>IF(D18=0,"nic",IF(D16=0,"nic",D18*D16))</f>
        <v>nic</v>
      </c>
      <c r="H21" s="558"/>
      <c r="I21" s="170" t="s">
        <v>256</v>
      </c>
    </row>
    <row r="22" spans="1:11" ht="30" thickBot="1" x14ac:dyDescent="0.3">
      <c r="E22" s="213" t="s">
        <v>8</v>
      </c>
      <c r="F22" s="560" t="str">
        <f>IF(G21="nic","nic",G21*3600)</f>
        <v>nic</v>
      </c>
      <c r="G22" s="560"/>
      <c r="H22" s="561" t="s">
        <v>131</v>
      </c>
      <c r="I22" s="562"/>
      <c r="J22" s="201"/>
    </row>
    <row r="23" spans="1:11" ht="30" customHeight="1" thickBot="1" x14ac:dyDescent="0.3">
      <c r="B23" s="557" t="s">
        <v>260</v>
      </c>
      <c r="C23" s="558"/>
      <c r="D23" s="558"/>
      <c r="E23" s="558"/>
      <c r="F23" s="545" t="str">
        <f>IF(G21="nic","nic",G21*E7*1000)</f>
        <v>nic</v>
      </c>
      <c r="G23" s="545"/>
      <c r="H23" s="554" t="s">
        <v>253</v>
      </c>
      <c r="I23" s="559"/>
    </row>
    <row r="24" spans="1:11" ht="30" thickBot="1" x14ac:dyDescent="0.3">
      <c r="A24" s="553" t="s">
        <v>402</v>
      </c>
      <c r="B24" s="554"/>
      <c r="C24" s="554" t="s">
        <v>403</v>
      </c>
      <c r="D24" s="554"/>
      <c r="E24" s="554"/>
      <c r="F24" s="554"/>
      <c r="G24" s="558">
        <f>IF(D18=0,"nic",IF(D12=0,"nic",D12/D18))</f>
        <v>5.2424922960637256E-2</v>
      </c>
      <c r="H24" s="558"/>
      <c r="I24" s="170" t="s">
        <v>257</v>
      </c>
    </row>
    <row r="25" spans="1:11" x14ac:dyDescent="0.25">
      <c r="G25" s="202" t="s">
        <v>258</v>
      </c>
      <c r="H25" s="203">
        <f>SQRT(G24/PI())*1000*2</f>
        <v>258.35921706642824</v>
      </c>
      <c r="I25" s="204" t="s">
        <v>175</v>
      </c>
    </row>
    <row r="26" spans="1:11" ht="15.75" thickBot="1" x14ac:dyDescent="0.3">
      <c r="G26" s="205" t="s">
        <v>259</v>
      </c>
      <c r="H26" s="206">
        <f>SQRT(G24)*1000</f>
        <v>228.96489460316238</v>
      </c>
      <c r="I26" s="207" t="s">
        <v>175</v>
      </c>
    </row>
    <row r="27" spans="1:11" x14ac:dyDescent="0.25">
      <c r="A27" s="201"/>
      <c r="B27" s="201"/>
    </row>
    <row r="31" spans="1:11" x14ac:dyDescent="0.25">
      <c r="K31" s="113"/>
    </row>
    <row r="32" spans="1:11" x14ac:dyDescent="0.25">
      <c r="K32" s="113"/>
    </row>
  </sheetData>
  <mergeCells count="30">
    <mergeCell ref="A1:I1"/>
    <mergeCell ref="B3:E3"/>
    <mergeCell ref="B12:C12"/>
    <mergeCell ref="B16:C16"/>
    <mergeCell ref="G20:H20"/>
    <mergeCell ref="C15:D15"/>
    <mergeCell ref="C17:D17"/>
    <mergeCell ref="B18:C18"/>
    <mergeCell ref="C8:D8"/>
    <mergeCell ref="C10:D10"/>
    <mergeCell ref="C11:D11"/>
    <mergeCell ref="B7:D7"/>
    <mergeCell ref="C4:D4"/>
    <mergeCell ref="C5:D5"/>
    <mergeCell ref="E11:G11"/>
    <mergeCell ref="C20:F20"/>
    <mergeCell ref="F23:G23"/>
    <mergeCell ref="H23:I23"/>
    <mergeCell ref="A24:B24"/>
    <mergeCell ref="C24:F24"/>
    <mergeCell ref="G21:H21"/>
    <mergeCell ref="G24:H24"/>
    <mergeCell ref="F22:G22"/>
    <mergeCell ref="H22:I22"/>
    <mergeCell ref="C21:F21"/>
    <mergeCell ref="A20:B20"/>
    <mergeCell ref="C13:D13"/>
    <mergeCell ref="C14:D14"/>
    <mergeCell ref="A21:B21"/>
    <mergeCell ref="B23:E2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G8" sqref="G8"/>
    </sheetView>
  </sheetViews>
  <sheetFormatPr defaultRowHeight="15" x14ac:dyDescent="0.25"/>
  <cols>
    <col min="1" max="2" width="9.140625" style="115"/>
    <col min="3" max="3" width="10.5703125" style="115" bestFit="1" customWidth="1"/>
    <col min="4" max="6" width="9.140625" style="115"/>
    <col min="7" max="7" width="12.5703125" style="115" bestFit="1" customWidth="1"/>
    <col min="8" max="9" width="9.140625" style="115"/>
  </cols>
  <sheetData>
    <row r="1" spans="1:9" ht="34.5" thickBot="1" x14ac:dyDescent="0.3">
      <c r="A1" s="573" t="s">
        <v>415</v>
      </c>
      <c r="B1" s="574"/>
      <c r="C1" s="574"/>
      <c r="D1" s="574"/>
      <c r="E1" s="574"/>
      <c r="F1" s="574"/>
      <c r="G1" s="574"/>
      <c r="H1" s="574"/>
      <c r="I1" s="575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s="66" customFormat="1" ht="20.25" customHeight="1" x14ac:dyDescent="0.35">
      <c r="A3" s="576" t="s">
        <v>405</v>
      </c>
      <c r="B3" s="577"/>
      <c r="C3" s="577"/>
      <c r="D3" s="577"/>
      <c r="E3" s="577"/>
      <c r="F3" s="577"/>
      <c r="G3" s="577"/>
      <c r="H3" s="577"/>
      <c r="I3" s="578"/>
    </row>
    <row r="4" spans="1:9" ht="10.5" customHeight="1" thickBot="1" x14ac:dyDescent="0.3">
      <c r="A4" s="163"/>
      <c r="B4" s="163"/>
      <c r="C4" s="163"/>
      <c r="D4" s="163"/>
      <c r="E4" s="163"/>
      <c r="F4" s="163"/>
      <c r="G4" s="163"/>
      <c r="H4" s="163"/>
      <c r="I4" s="163"/>
    </row>
    <row r="5" spans="1:9" ht="30" customHeight="1" thickBot="1" x14ac:dyDescent="0.3">
      <c r="A5" s="222" t="s">
        <v>0</v>
      </c>
      <c r="B5" s="588" t="s">
        <v>350</v>
      </c>
      <c r="C5" s="589"/>
      <c r="D5" s="589"/>
      <c r="E5" s="589"/>
      <c r="F5" s="588" t="s">
        <v>269</v>
      </c>
      <c r="G5" s="593"/>
      <c r="H5" s="224"/>
      <c r="I5" s="223"/>
    </row>
    <row r="6" spans="1:9" ht="18" customHeight="1" x14ac:dyDescent="0.25">
      <c r="B6" s="215"/>
    </row>
    <row r="7" spans="1:9" ht="18" customHeight="1" x14ac:dyDescent="0.25">
      <c r="A7" s="533" t="s">
        <v>6</v>
      </c>
      <c r="B7" s="534"/>
      <c r="C7" s="225" t="s">
        <v>352</v>
      </c>
      <c r="D7" s="188">
        <f>Tah!E16*(273/(273+G7))</f>
        <v>1.1703861386138614</v>
      </c>
      <c r="E7" s="110" t="s">
        <v>378</v>
      </c>
      <c r="F7" s="231" t="s">
        <v>355</v>
      </c>
      <c r="G7" s="232">
        <f>Tah!D10</f>
        <v>30</v>
      </c>
      <c r="H7" s="233" t="s">
        <v>356</v>
      </c>
      <c r="I7" s="592" t="s">
        <v>357</v>
      </c>
    </row>
    <row r="8" spans="1:9" ht="18" customHeight="1" x14ac:dyDescent="0.25">
      <c r="A8" s="533" t="s">
        <v>351</v>
      </c>
      <c r="B8" s="534"/>
      <c r="C8" s="225" t="s">
        <v>353</v>
      </c>
      <c r="D8" s="189">
        <f>Tah!E16*(273/(273+G8))</f>
        <v>0.90235877862595426</v>
      </c>
      <c r="E8" s="230" t="s">
        <v>378</v>
      </c>
      <c r="F8" s="231" t="s">
        <v>354</v>
      </c>
      <c r="G8" s="232">
        <f>Tah!D11</f>
        <v>120</v>
      </c>
      <c r="H8" s="233" t="s">
        <v>356</v>
      </c>
      <c r="I8" s="592"/>
    </row>
    <row r="9" spans="1:9" ht="18" customHeight="1" thickBot="1" x14ac:dyDescent="0.3">
      <c r="F9" s="227"/>
      <c r="H9" s="234"/>
      <c r="I9" s="235"/>
    </row>
    <row r="10" spans="1:9" s="8" customFormat="1" ht="27" thickBot="1" x14ac:dyDescent="0.35">
      <c r="A10" s="216" t="s">
        <v>358</v>
      </c>
      <c r="B10" s="169" t="s">
        <v>8</v>
      </c>
      <c r="C10" s="545">
        <f>D7/D8</f>
        <v>1.2970297029702971</v>
      </c>
      <c r="D10" s="545"/>
      <c r="E10" s="554" t="s">
        <v>349</v>
      </c>
      <c r="F10" s="559"/>
      <c r="G10" s="167"/>
      <c r="H10" s="167"/>
      <c r="I10" s="167"/>
    </row>
    <row r="11" spans="1:9" ht="15" customHeight="1" x14ac:dyDescent="0.25">
      <c r="A11" s="163"/>
      <c r="B11" s="163"/>
      <c r="C11" s="163"/>
      <c r="D11" s="163"/>
      <c r="E11" s="163"/>
      <c r="F11" s="163"/>
      <c r="G11" s="163"/>
      <c r="H11" s="163"/>
      <c r="I11" s="163"/>
    </row>
    <row r="12" spans="1:9" s="66" customFormat="1" ht="20.25" customHeight="1" x14ac:dyDescent="0.35">
      <c r="A12" s="576" t="s">
        <v>307</v>
      </c>
      <c r="B12" s="577"/>
      <c r="C12" s="577"/>
      <c r="D12" s="577"/>
      <c r="E12" s="577"/>
      <c r="F12" s="577"/>
      <c r="G12" s="577"/>
      <c r="H12" s="577"/>
      <c r="I12" s="578"/>
    </row>
    <row r="13" spans="1:9" ht="15" customHeight="1" thickBot="1" x14ac:dyDescent="0.3">
      <c r="A13" s="163"/>
      <c r="B13" s="163"/>
      <c r="C13" s="163"/>
      <c r="D13" s="163"/>
      <c r="E13" s="163"/>
      <c r="F13" s="163"/>
      <c r="G13" s="163"/>
      <c r="H13" s="163"/>
      <c r="I13" s="163"/>
    </row>
    <row r="14" spans="1:9" s="115" customFormat="1" ht="30" thickBot="1" x14ac:dyDescent="0.3">
      <c r="A14" s="222" t="s">
        <v>0</v>
      </c>
      <c r="B14" s="588" t="s">
        <v>414</v>
      </c>
      <c r="C14" s="589"/>
      <c r="D14" s="589"/>
      <c r="E14" s="589"/>
      <c r="F14" s="590" t="s">
        <v>131</v>
      </c>
      <c r="G14" s="591"/>
      <c r="H14" s="224"/>
    </row>
    <row r="15" spans="1:9" s="115" customFormat="1" ht="18" customHeight="1" x14ac:dyDescent="0.25">
      <c r="B15" s="215"/>
    </row>
    <row r="16" spans="1:9" s="115" customFormat="1" ht="18" customHeight="1" x14ac:dyDescent="0.25">
      <c r="A16" s="533" t="s">
        <v>308</v>
      </c>
      <c r="B16" s="534"/>
      <c r="C16" s="225" t="s">
        <v>321</v>
      </c>
      <c r="D16" s="226">
        <v>8</v>
      </c>
      <c r="E16" s="110" t="s">
        <v>113</v>
      </c>
      <c r="F16" s="227" t="s">
        <v>311</v>
      </c>
      <c r="G16" s="115" t="s">
        <v>312</v>
      </c>
      <c r="H16" s="228" t="s">
        <v>322</v>
      </c>
      <c r="I16" s="229">
        <v>2.2000000000000002</v>
      </c>
    </row>
    <row r="17" spans="1:9" s="115" customFormat="1" ht="18" customHeight="1" x14ac:dyDescent="0.25">
      <c r="A17" s="533" t="s">
        <v>309</v>
      </c>
      <c r="B17" s="534"/>
      <c r="C17" s="225"/>
      <c r="D17" s="226">
        <v>3</v>
      </c>
      <c r="E17" s="230" t="s">
        <v>310</v>
      </c>
      <c r="F17" s="227" t="s">
        <v>313</v>
      </c>
      <c r="G17" s="115" t="s">
        <v>314</v>
      </c>
      <c r="H17" s="228" t="s">
        <v>322</v>
      </c>
      <c r="I17" s="229">
        <v>2</v>
      </c>
    </row>
    <row r="18" spans="1:9" s="115" customFormat="1" ht="18" customHeight="1" thickBot="1" x14ac:dyDescent="0.3">
      <c r="F18" s="227" t="s">
        <v>315</v>
      </c>
      <c r="G18" s="115" t="s">
        <v>316</v>
      </c>
      <c r="H18" s="228" t="s">
        <v>322</v>
      </c>
      <c r="I18" s="229">
        <v>4</v>
      </c>
    </row>
    <row r="19" spans="1:9" s="8" customFormat="1" ht="30" thickBot="1" x14ac:dyDescent="0.35">
      <c r="A19" s="216" t="s">
        <v>318</v>
      </c>
      <c r="B19" s="169" t="s">
        <v>8</v>
      </c>
      <c r="C19" s="545">
        <f>IF(D17=1,D16*I16,(IF(D17=2,D16*I17,IF(D17=3,D16*I18,"NIC"))))</f>
        <v>32</v>
      </c>
      <c r="D19" s="545"/>
      <c r="E19" s="554" t="s">
        <v>131</v>
      </c>
      <c r="F19" s="559"/>
      <c r="G19" s="579" t="s">
        <v>406</v>
      </c>
      <c r="H19" s="580"/>
      <c r="I19" s="580"/>
    </row>
    <row r="20" spans="1:9" s="8" customFormat="1" ht="27" thickBot="1" x14ac:dyDescent="0.35">
      <c r="A20" s="250"/>
      <c r="B20" s="251"/>
      <c r="C20" s="599">
        <f>((C19*D7)*1000)/3600</f>
        <v>10.403432343234325</v>
      </c>
      <c r="D20" s="545"/>
      <c r="E20" s="554" t="s">
        <v>253</v>
      </c>
      <c r="F20" s="559"/>
      <c r="G20" s="249"/>
      <c r="H20" s="218"/>
      <c r="I20" s="218"/>
    </row>
    <row r="22" spans="1:9" s="66" customFormat="1" ht="20.25" customHeight="1" x14ac:dyDescent="0.35">
      <c r="A22" s="576" t="s">
        <v>317</v>
      </c>
      <c r="B22" s="577"/>
      <c r="C22" s="577"/>
      <c r="D22" s="577"/>
      <c r="E22" s="577"/>
      <c r="F22" s="577"/>
      <c r="G22" s="577"/>
      <c r="H22" s="577"/>
      <c r="I22" s="578"/>
    </row>
    <row r="23" spans="1:9" ht="15.75" thickBot="1" x14ac:dyDescent="0.3"/>
    <row r="24" spans="1:9" ht="27" thickBot="1" x14ac:dyDescent="0.3">
      <c r="A24" s="222" t="s">
        <v>0</v>
      </c>
      <c r="B24" s="588" t="s">
        <v>408</v>
      </c>
      <c r="C24" s="589"/>
      <c r="D24" s="589"/>
      <c r="E24" s="589"/>
      <c r="F24" s="589"/>
      <c r="G24" s="590" t="s">
        <v>122</v>
      </c>
      <c r="H24" s="591"/>
    </row>
    <row r="25" spans="1:9" ht="18" customHeight="1" x14ac:dyDescent="0.25">
      <c r="B25" s="67"/>
    </row>
    <row r="26" spans="1:9" ht="18" customHeight="1" x14ac:dyDescent="0.25">
      <c r="A26" s="533" t="s">
        <v>319</v>
      </c>
      <c r="B26" s="534"/>
      <c r="C26" s="534"/>
      <c r="D26" s="225" t="s">
        <v>343</v>
      </c>
      <c r="E26" s="226">
        <v>3.6</v>
      </c>
      <c r="F26" s="110" t="s">
        <v>341</v>
      </c>
      <c r="G26" s="236">
        <f>E26*3.6</f>
        <v>12.96</v>
      </c>
      <c r="H26" s="110" t="s">
        <v>342</v>
      </c>
    </row>
    <row r="27" spans="1:9" ht="18" customHeight="1" x14ac:dyDescent="0.25">
      <c r="A27" s="533" t="s">
        <v>320</v>
      </c>
      <c r="B27" s="534"/>
      <c r="C27" s="534"/>
      <c r="D27" s="225" t="s">
        <v>325</v>
      </c>
      <c r="E27" s="226">
        <v>6.35</v>
      </c>
      <c r="F27" s="110" t="s">
        <v>407</v>
      </c>
    </row>
    <row r="28" spans="1:9" ht="18" customHeight="1" x14ac:dyDescent="0.25">
      <c r="A28" s="533" t="s">
        <v>324</v>
      </c>
      <c r="B28" s="534"/>
      <c r="C28" s="534"/>
      <c r="D28" s="237" t="s">
        <v>323</v>
      </c>
      <c r="E28" s="226">
        <v>2.5</v>
      </c>
      <c r="F28" s="110"/>
    </row>
    <row r="29" spans="1:9" ht="18" customHeight="1" thickBot="1" x14ac:dyDescent="0.3"/>
    <row r="30" spans="1:9" s="8" customFormat="1" ht="30" thickBot="1" x14ac:dyDescent="0.35">
      <c r="A30" s="238" t="s">
        <v>318</v>
      </c>
      <c r="B30" s="239" t="s">
        <v>8</v>
      </c>
      <c r="C30" s="587">
        <f>(E27/E26)*E28</f>
        <v>4.4097222222222223</v>
      </c>
      <c r="D30" s="587"/>
      <c r="E30" s="581" t="s">
        <v>409</v>
      </c>
      <c r="F30" s="582"/>
      <c r="G30" s="167" t="s">
        <v>365</v>
      </c>
      <c r="H30" s="167"/>
      <c r="I30" s="167"/>
    </row>
    <row r="31" spans="1:9" s="8" customFormat="1" ht="30" thickBot="1" x14ac:dyDescent="0.35">
      <c r="A31" s="216" t="s">
        <v>318</v>
      </c>
      <c r="B31" s="169" t="s">
        <v>8</v>
      </c>
      <c r="C31" s="545">
        <f>C30*D16</f>
        <v>35.277777777777779</v>
      </c>
      <c r="D31" s="545"/>
      <c r="E31" s="554" t="s">
        <v>131</v>
      </c>
      <c r="F31" s="559"/>
      <c r="G31" s="167" t="s">
        <v>326</v>
      </c>
      <c r="H31" s="167"/>
      <c r="I31" s="167"/>
    </row>
    <row r="32" spans="1:9" s="8" customFormat="1" ht="27" thickBot="1" x14ac:dyDescent="0.35">
      <c r="A32" s="250"/>
      <c r="B32" s="251"/>
      <c r="C32" s="599">
        <f>((C31*D7)*1000)/3600</f>
        <v>11.46906169783645</v>
      </c>
      <c r="D32" s="545"/>
      <c r="E32" s="554" t="s">
        <v>253</v>
      </c>
      <c r="F32" s="559"/>
      <c r="G32" s="167"/>
      <c r="H32" s="167"/>
      <c r="I32" s="167"/>
    </row>
    <row r="34" spans="1:9" s="66" customFormat="1" ht="20.25" customHeight="1" x14ac:dyDescent="0.35">
      <c r="A34" s="576" t="s">
        <v>327</v>
      </c>
      <c r="B34" s="577"/>
      <c r="C34" s="577"/>
      <c r="D34" s="577"/>
      <c r="E34" s="577"/>
      <c r="F34" s="577"/>
      <c r="G34" s="577"/>
      <c r="H34" s="577"/>
      <c r="I34" s="578"/>
    </row>
    <row r="35" spans="1:9" ht="15.75" thickBot="1" x14ac:dyDescent="0.3"/>
    <row r="36" spans="1:9" ht="24.75" thickBot="1" x14ac:dyDescent="0.3">
      <c r="A36" s="222" t="s">
        <v>0</v>
      </c>
      <c r="B36" s="583" t="s">
        <v>328</v>
      </c>
      <c r="C36" s="584"/>
      <c r="D36" s="584"/>
      <c r="E36" s="584"/>
      <c r="F36" s="584"/>
      <c r="G36" s="584"/>
      <c r="H36" s="586"/>
      <c r="I36" s="247" t="s">
        <v>416</v>
      </c>
    </row>
    <row r="37" spans="1:9" ht="18" customHeight="1" x14ac:dyDescent="0.25">
      <c r="A37" s="195"/>
      <c r="B37" s="161"/>
      <c r="C37" s="195"/>
      <c r="D37" s="195"/>
      <c r="E37" s="195"/>
      <c r="F37" s="195"/>
      <c r="G37" s="195"/>
      <c r="H37" s="195"/>
      <c r="I37" s="195"/>
    </row>
    <row r="38" spans="1:9" ht="18" customHeight="1" x14ac:dyDescent="0.25">
      <c r="A38" s="533" t="s">
        <v>329</v>
      </c>
      <c r="B38" s="534"/>
      <c r="C38" s="534"/>
      <c r="D38" s="225" t="s">
        <v>330</v>
      </c>
      <c r="E38" s="226">
        <v>51</v>
      </c>
      <c r="F38" s="110" t="s">
        <v>188</v>
      </c>
      <c r="G38" s="195"/>
      <c r="H38" s="195"/>
      <c r="I38" s="195"/>
    </row>
    <row r="39" spans="1:9" ht="18" customHeight="1" x14ac:dyDescent="0.25">
      <c r="A39" s="533" t="s">
        <v>331</v>
      </c>
      <c r="B39" s="534"/>
      <c r="C39" s="534"/>
      <c r="D39" s="225" t="s">
        <v>332</v>
      </c>
      <c r="E39" s="226">
        <v>6.9</v>
      </c>
      <c r="F39" s="110" t="s">
        <v>188</v>
      </c>
      <c r="G39" s="195"/>
      <c r="H39" s="195"/>
      <c r="I39" s="195"/>
    </row>
    <row r="40" spans="1:9" ht="18" customHeight="1" x14ac:dyDescent="0.25">
      <c r="A40" s="533" t="s">
        <v>333</v>
      </c>
      <c r="B40" s="534"/>
      <c r="C40" s="534"/>
      <c r="D40" s="225" t="s">
        <v>334</v>
      </c>
      <c r="E40" s="226">
        <v>3.0000000000000001E-3</v>
      </c>
      <c r="F40" s="110" t="s">
        <v>188</v>
      </c>
      <c r="G40" s="195"/>
      <c r="H40" s="195"/>
      <c r="I40" s="195"/>
    </row>
    <row r="41" spans="1:9" ht="18" customHeight="1" x14ac:dyDescent="0.25">
      <c r="A41" s="533" t="s">
        <v>335</v>
      </c>
      <c r="B41" s="534"/>
      <c r="C41" s="534"/>
      <c r="D41" s="225" t="s">
        <v>336</v>
      </c>
      <c r="E41" s="226">
        <v>0.3</v>
      </c>
      <c r="F41" s="110" t="s">
        <v>188</v>
      </c>
      <c r="G41" s="195"/>
      <c r="H41" s="195"/>
      <c r="I41" s="195"/>
    </row>
    <row r="42" spans="1:9" ht="18" customHeight="1" x14ac:dyDescent="0.25">
      <c r="A42" s="533" t="s">
        <v>338</v>
      </c>
      <c r="B42" s="534"/>
      <c r="C42" s="534"/>
      <c r="D42" s="237" t="s">
        <v>337</v>
      </c>
      <c r="E42" s="226">
        <v>44</v>
      </c>
      <c r="F42" s="110" t="s">
        <v>188</v>
      </c>
      <c r="G42" s="240"/>
      <c r="H42" s="195"/>
      <c r="I42" s="195"/>
    </row>
    <row r="43" spans="1:9" ht="18" customHeight="1" x14ac:dyDescent="0.25">
      <c r="A43" s="533" t="s">
        <v>347</v>
      </c>
      <c r="B43" s="534"/>
      <c r="C43" s="534"/>
      <c r="D43" s="241" t="s">
        <v>404</v>
      </c>
      <c r="E43" s="226">
        <v>2</v>
      </c>
      <c r="F43" s="242" t="s">
        <v>223</v>
      </c>
      <c r="G43" s="240"/>
      <c r="H43" s="195"/>
      <c r="I43" s="195"/>
    </row>
    <row r="44" spans="1:9" ht="18" customHeight="1" thickBot="1" x14ac:dyDescent="0.3">
      <c r="A44" s="243"/>
      <c r="B44" s="195"/>
      <c r="C44" s="195"/>
      <c r="D44" s="195"/>
      <c r="E44" s="244"/>
      <c r="F44" s="195"/>
      <c r="G44" s="240"/>
      <c r="H44" s="195"/>
      <c r="I44" s="195"/>
    </row>
    <row r="45" spans="1:9" ht="30" thickBot="1" x14ac:dyDescent="0.3">
      <c r="A45" s="238" t="s">
        <v>339</v>
      </c>
      <c r="B45" s="239" t="s">
        <v>8</v>
      </c>
      <c r="C45" s="587">
        <f>((1.864*E38/100)+(5.554*E39/100)+(0.698*E40/100)-(0.7*E42/100))/0.21</f>
        <v>4.8851759047619048</v>
      </c>
      <c r="D45" s="587"/>
      <c r="E45" s="581" t="s">
        <v>340</v>
      </c>
      <c r="F45" s="582"/>
      <c r="G45" s="579" t="s">
        <v>364</v>
      </c>
      <c r="H45" s="580"/>
      <c r="I45" s="580"/>
    </row>
    <row r="46" spans="1:9" ht="30" customHeight="1" thickBot="1" x14ac:dyDescent="0.3">
      <c r="A46" s="216" t="s">
        <v>318</v>
      </c>
      <c r="B46" s="169" t="s">
        <v>8</v>
      </c>
      <c r="C46" s="545">
        <f>C45*E43</f>
        <v>9.7703518095238095</v>
      </c>
      <c r="D46" s="545"/>
      <c r="E46" s="554" t="s">
        <v>131</v>
      </c>
      <c r="F46" s="559"/>
      <c r="G46" s="594" t="s">
        <v>410</v>
      </c>
      <c r="H46" s="596"/>
      <c r="I46" s="596"/>
    </row>
    <row r="47" spans="1:9" ht="30" thickBot="1" x14ac:dyDescent="0.3">
      <c r="A47" s="216" t="s">
        <v>318</v>
      </c>
      <c r="B47" s="169" t="s">
        <v>8</v>
      </c>
      <c r="C47" s="545">
        <f>C46*E28</f>
        <v>24.425879523809524</v>
      </c>
      <c r="D47" s="545"/>
      <c r="E47" s="554" t="s">
        <v>131</v>
      </c>
      <c r="F47" s="559"/>
      <c r="G47" s="579" t="s">
        <v>411</v>
      </c>
      <c r="H47" s="580"/>
      <c r="I47" s="580"/>
    </row>
    <row r="48" spans="1:9" ht="27" thickBot="1" x14ac:dyDescent="0.3">
      <c r="A48" s="250"/>
      <c r="B48" s="251"/>
      <c r="C48" s="599">
        <f>((C47*D7)*1000)/3600</f>
        <v>7.9410307828107811</v>
      </c>
      <c r="D48" s="545"/>
      <c r="E48" s="554" t="s">
        <v>253</v>
      </c>
      <c r="F48" s="559"/>
      <c r="G48" s="249"/>
      <c r="H48" s="218"/>
      <c r="I48" s="218"/>
    </row>
    <row r="49" spans="1:9" ht="15.75" thickBot="1" x14ac:dyDescent="0.3">
      <c r="A49" s="195"/>
      <c r="B49" s="161"/>
      <c r="C49" s="244"/>
      <c r="D49" s="195"/>
      <c r="E49" s="195"/>
      <c r="F49" s="195"/>
      <c r="G49" s="195"/>
      <c r="H49" s="195"/>
      <c r="I49" s="195"/>
    </row>
    <row r="50" spans="1:9" ht="34.5" thickBot="1" x14ac:dyDescent="0.3">
      <c r="A50" s="573" t="s">
        <v>345</v>
      </c>
      <c r="B50" s="574"/>
      <c r="C50" s="574"/>
      <c r="D50" s="574"/>
      <c r="E50" s="574"/>
      <c r="F50" s="574"/>
      <c r="G50" s="574"/>
      <c r="H50" s="574"/>
      <c r="I50" s="575"/>
    </row>
    <row r="51" spans="1:9" x14ac:dyDescent="0.25">
      <c r="A51" s="195"/>
      <c r="B51" s="161"/>
      <c r="C51" s="244"/>
      <c r="D51" s="195"/>
      <c r="E51" s="195"/>
      <c r="F51" s="195"/>
      <c r="G51" s="195"/>
      <c r="H51" s="195"/>
      <c r="I51" s="195"/>
    </row>
    <row r="52" spans="1:9" s="66" customFormat="1" ht="20.25" customHeight="1" x14ac:dyDescent="0.35">
      <c r="A52" s="576" t="s">
        <v>346</v>
      </c>
      <c r="B52" s="577"/>
      <c r="C52" s="577"/>
      <c r="D52" s="577"/>
      <c r="E52" s="577"/>
      <c r="F52" s="577"/>
      <c r="G52" s="577"/>
      <c r="H52" s="577"/>
      <c r="I52" s="578"/>
    </row>
    <row r="53" spans="1:9" ht="15.75" thickBot="1" x14ac:dyDescent="0.3"/>
    <row r="54" spans="1:9" ht="31.5" thickBot="1" x14ac:dyDescent="0.3">
      <c r="A54" s="222" t="s">
        <v>0</v>
      </c>
      <c r="B54" s="588" t="s">
        <v>419</v>
      </c>
      <c r="C54" s="589"/>
      <c r="D54" s="589"/>
      <c r="E54" s="589"/>
      <c r="F54" s="589"/>
      <c r="G54" s="589"/>
      <c r="H54" s="590" t="s">
        <v>131</v>
      </c>
      <c r="I54" s="591"/>
    </row>
    <row r="55" spans="1:9" ht="24.75" thickBot="1" x14ac:dyDescent="0.3">
      <c r="A55" s="222" t="s">
        <v>0</v>
      </c>
      <c r="B55" s="583" t="s">
        <v>422</v>
      </c>
      <c r="C55" s="584"/>
      <c r="D55" s="584"/>
      <c r="E55" s="584"/>
      <c r="F55" s="584"/>
      <c r="G55" s="584"/>
      <c r="H55" s="585"/>
      <c r="I55" s="248" t="s">
        <v>416</v>
      </c>
    </row>
    <row r="56" spans="1:9" ht="24.75" thickBot="1" x14ac:dyDescent="0.3">
      <c r="A56" s="215"/>
      <c r="B56" s="583" t="s">
        <v>421</v>
      </c>
      <c r="C56" s="584"/>
      <c r="D56" s="584"/>
      <c r="E56" s="584"/>
      <c r="F56" s="584"/>
      <c r="G56" s="584"/>
      <c r="H56" s="586"/>
      <c r="I56" s="248" t="s">
        <v>416</v>
      </c>
    </row>
    <row r="57" spans="1:9" ht="24.75" thickBot="1" x14ac:dyDescent="0.3">
      <c r="A57" s="215"/>
      <c r="B57" s="583" t="s">
        <v>420</v>
      </c>
      <c r="C57" s="584"/>
      <c r="D57" s="584"/>
      <c r="E57" s="584"/>
      <c r="F57" s="584"/>
      <c r="G57" s="584"/>
      <c r="H57" s="586"/>
      <c r="I57" s="248" t="s">
        <v>416</v>
      </c>
    </row>
    <row r="58" spans="1:9" ht="18" customHeight="1" x14ac:dyDescent="0.25">
      <c r="A58" s="215"/>
      <c r="B58" s="245"/>
      <c r="C58" s="245"/>
      <c r="D58" s="245"/>
      <c r="E58" s="245"/>
      <c r="F58" s="245"/>
      <c r="G58" s="245"/>
      <c r="H58" s="245"/>
    </row>
    <row r="59" spans="1:9" ht="18" customHeight="1" x14ac:dyDescent="0.25">
      <c r="A59" s="533" t="s">
        <v>319</v>
      </c>
      <c r="B59" s="534"/>
      <c r="C59" s="534"/>
      <c r="D59" s="225" t="s">
        <v>343</v>
      </c>
      <c r="E59" s="246">
        <f>G26*1000</f>
        <v>12960</v>
      </c>
      <c r="F59" s="110" t="s">
        <v>344</v>
      </c>
      <c r="G59" s="70" t="s">
        <v>412</v>
      </c>
      <c r="H59" s="245"/>
    </row>
    <row r="60" spans="1:9" ht="18" customHeight="1" x14ac:dyDescent="0.25">
      <c r="A60" s="533" t="s">
        <v>347</v>
      </c>
      <c r="B60" s="534"/>
      <c r="C60" s="534"/>
      <c r="D60" s="225" t="s">
        <v>348</v>
      </c>
      <c r="E60" s="226">
        <v>2</v>
      </c>
      <c r="F60" s="110" t="s">
        <v>223</v>
      </c>
      <c r="G60" s="245"/>
      <c r="H60" s="245"/>
    </row>
    <row r="61" spans="1:9" ht="18" customHeight="1" thickBot="1" x14ac:dyDescent="0.3">
      <c r="A61" s="195"/>
      <c r="B61" s="161"/>
      <c r="C61" s="195"/>
      <c r="D61" s="195"/>
      <c r="E61" s="195"/>
      <c r="F61" s="195"/>
      <c r="G61" s="195"/>
      <c r="H61" s="195"/>
      <c r="I61" s="195"/>
    </row>
    <row r="62" spans="1:9" ht="30" thickBot="1" x14ac:dyDescent="0.3">
      <c r="A62" s="238" t="s">
        <v>339</v>
      </c>
      <c r="B62" s="239" t="s">
        <v>8</v>
      </c>
      <c r="C62" s="587">
        <f>IF(D17=1,0.446+(1.09*E59/4187),IF(D17=2,1.11*E59/4187,IF(D17=3,1.375+(0.95*E59/4187),0)))</f>
        <v>4.3155302125626935</v>
      </c>
      <c r="D62" s="587"/>
      <c r="E62" s="581" t="s">
        <v>340</v>
      </c>
      <c r="F62" s="582"/>
      <c r="G62" s="579" t="s">
        <v>364</v>
      </c>
      <c r="H62" s="580"/>
      <c r="I62" s="580"/>
    </row>
    <row r="63" spans="1:9" ht="30" thickBot="1" x14ac:dyDescent="0.3">
      <c r="A63" s="216" t="s">
        <v>359</v>
      </c>
      <c r="B63" s="169" t="s">
        <v>8</v>
      </c>
      <c r="C63" s="545">
        <f>C62*E60</f>
        <v>8.6310604251253871</v>
      </c>
      <c r="D63" s="545"/>
      <c r="E63" s="554" t="s">
        <v>131</v>
      </c>
      <c r="F63" s="559"/>
      <c r="G63" s="571" t="s">
        <v>410</v>
      </c>
      <c r="H63" s="572"/>
      <c r="I63" s="572"/>
    </row>
    <row r="64" spans="1:9" ht="27" thickBot="1" x14ac:dyDescent="0.3">
      <c r="A64" s="250"/>
      <c r="B64" s="251"/>
      <c r="C64" s="599">
        <f>((C63*D8)*1000)/3600</f>
        <v>2.1634203176285984</v>
      </c>
      <c r="D64" s="545"/>
      <c r="E64" s="554" t="s">
        <v>253</v>
      </c>
      <c r="F64" s="559"/>
      <c r="G64" s="220"/>
      <c r="H64" s="221"/>
      <c r="I64" s="221"/>
    </row>
    <row r="65" spans="1:9" ht="30" thickBot="1" x14ac:dyDescent="0.3">
      <c r="A65" s="216" t="s">
        <v>359</v>
      </c>
      <c r="B65" s="169" t="s">
        <v>8</v>
      </c>
      <c r="C65" s="545">
        <f>C63*E28*C10</f>
        <v>27.986854348797664</v>
      </c>
      <c r="D65" s="545"/>
      <c r="E65" s="554" t="s">
        <v>131</v>
      </c>
      <c r="F65" s="559"/>
      <c r="G65" s="594" t="s">
        <v>413</v>
      </c>
      <c r="H65" s="595"/>
      <c r="I65" s="595"/>
    </row>
    <row r="66" spans="1:9" ht="27" thickBot="1" x14ac:dyDescent="0.3">
      <c r="A66" s="250"/>
      <c r="B66" s="251"/>
      <c r="C66" s="599">
        <f>((C65*D8)*1000)/3600</f>
        <v>7.0150510299343161</v>
      </c>
      <c r="D66" s="545"/>
      <c r="E66" s="554" t="s">
        <v>253</v>
      </c>
      <c r="F66" s="559"/>
      <c r="G66" s="219"/>
      <c r="H66" s="217"/>
      <c r="I66" s="217"/>
    </row>
    <row r="68" spans="1:9" s="66" customFormat="1" ht="20.25" customHeight="1" x14ac:dyDescent="0.35">
      <c r="A68" s="576" t="s">
        <v>360</v>
      </c>
      <c r="B68" s="577"/>
      <c r="C68" s="577"/>
      <c r="D68" s="577"/>
      <c r="E68" s="577"/>
      <c r="F68" s="577"/>
      <c r="G68" s="577"/>
      <c r="H68" s="577"/>
      <c r="I68" s="578"/>
    </row>
    <row r="69" spans="1:9" ht="15.75" thickBot="1" x14ac:dyDescent="0.3"/>
    <row r="70" spans="1:9" ht="31.5" thickBot="1" x14ac:dyDescent="0.3">
      <c r="A70" s="222" t="s">
        <v>0</v>
      </c>
      <c r="B70" s="597" t="s">
        <v>417</v>
      </c>
      <c r="C70" s="598"/>
      <c r="D70" s="598"/>
      <c r="E70" s="598"/>
      <c r="F70" s="598"/>
      <c r="G70" s="598"/>
      <c r="H70" s="590" t="s">
        <v>131</v>
      </c>
      <c r="I70" s="591"/>
    </row>
    <row r="71" spans="1:9" ht="18" customHeight="1" x14ac:dyDescent="0.25">
      <c r="A71" s="215"/>
      <c r="B71" s="245"/>
      <c r="C71" s="245"/>
      <c r="D71" s="245"/>
      <c r="E71" s="245"/>
      <c r="F71" s="245"/>
      <c r="G71" s="245"/>
      <c r="H71" s="245"/>
    </row>
    <row r="72" spans="1:9" ht="18" customHeight="1" x14ac:dyDescent="0.25">
      <c r="A72" s="533" t="s">
        <v>361</v>
      </c>
      <c r="B72" s="534"/>
      <c r="C72" s="534"/>
      <c r="D72" s="225" t="s">
        <v>362</v>
      </c>
      <c r="E72" s="226">
        <v>6</v>
      </c>
      <c r="F72" s="110" t="s">
        <v>253</v>
      </c>
      <c r="G72" s="245"/>
      <c r="H72" s="245"/>
    </row>
    <row r="73" spans="1:9" ht="18" customHeight="1" x14ac:dyDescent="0.25">
      <c r="A73" s="533" t="s">
        <v>351</v>
      </c>
      <c r="B73" s="534"/>
      <c r="C73" s="534"/>
      <c r="D73" s="225" t="s">
        <v>363</v>
      </c>
      <c r="E73" s="252">
        <f>D8*1000</f>
        <v>902.3587786259543</v>
      </c>
      <c r="F73" s="110" t="s">
        <v>418</v>
      </c>
      <c r="G73" s="245"/>
      <c r="H73" s="245"/>
    </row>
    <row r="74" spans="1:9" ht="18" customHeight="1" thickBot="1" x14ac:dyDescent="0.3">
      <c r="A74" s="195"/>
      <c r="B74" s="161"/>
      <c r="C74" s="195"/>
      <c r="D74" s="195"/>
      <c r="E74" s="195"/>
      <c r="F74" s="195"/>
      <c r="G74" s="195"/>
      <c r="H74" s="195"/>
      <c r="I74" s="195"/>
    </row>
    <row r="75" spans="1:9" ht="30" thickBot="1" x14ac:dyDescent="0.3">
      <c r="A75" s="216" t="s">
        <v>359</v>
      </c>
      <c r="B75" s="169" t="s">
        <v>8</v>
      </c>
      <c r="C75" s="545">
        <f>E72/E73*3600</f>
        <v>23.937263660127396</v>
      </c>
      <c r="D75" s="545"/>
      <c r="E75" s="554" t="s">
        <v>131</v>
      </c>
      <c r="F75" s="559"/>
      <c r="G75" s="167"/>
      <c r="H75" s="195"/>
      <c r="I75" s="195"/>
    </row>
  </sheetData>
  <mergeCells count="79">
    <mergeCell ref="H54:I54"/>
    <mergeCell ref="B70:G70"/>
    <mergeCell ref="H70:I70"/>
    <mergeCell ref="C20:D20"/>
    <mergeCell ref="E20:F20"/>
    <mergeCell ref="C32:D32"/>
    <mergeCell ref="E32:F32"/>
    <mergeCell ref="C48:D48"/>
    <mergeCell ref="E48:F48"/>
    <mergeCell ref="C64:D64"/>
    <mergeCell ref="E64:F64"/>
    <mergeCell ref="C66:D66"/>
    <mergeCell ref="E66:F66"/>
    <mergeCell ref="E47:F47"/>
    <mergeCell ref="A34:I34"/>
    <mergeCell ref="G62:I62"/>
    <mergeCell ref="E63:F63"/>
    <mergeCell ref="A60:C60"/>
    <mergeCell ref="C62:D62"/>
    <mergeCell ref="A26:C26"/>
    <mergeCell ref="A28:C28"/>
    <mergeCell ref="A40:C40"/>
    <mergeCell ref="C30:D30"/>
    <mergeCell ref="E30:F30"/>
    <mergeCell ref="C31:D31"/>
    <mergeCell ref="B54:G54"/>
    <mergeCell ref="G46:I46"/>
    <mergeCell ref="E46:F46"/>
    <mergeCell ref="A38:C38"/>
    <mergeCell ref="A39:C39"/>
    <mergeCell ref="A42:C42"/>
    <mergeCell ref="A41:C41"/>
    <mergeCell ref="E75:F75"/>
    <mergeCell ref="A68:I68"/>
    <mergeCell ref="A43:C43"/>
    <mergeCell ref="C46:D46"/>
    <mergeCell ref="A72:C72"/>
    <mergeCell ref="A73:C73"/>
    <mergeCell ref="C75:D75"/>
    <mergeCell ref="A50:I50"/>
    <mergeCell ref="C65:D65"/>
    <mergeCell ref="E65:F65"/>
    <mergeCell ref="B56:H56"/>
    <mergeCell ref="B57:H57"/>
    <mergeCell ref="A59:C59"/>
    <mergeCell ref="C63:D63"/>
    <mergeCell ref="G65:I65"/>
    <mergeCell ref="C47:D47"/>
    <mergeCell ref="A3:I3"/>
    <mergeCell ref="A7:B7"/>
    <mergeCell ref="A8:B8"/>
    <mergeCell ref="C10:D10"/>
    <mergeCell ref="E10:F10"/>
    <mergeCell ref="I7:I8"/>
    <mergeCell ref="B5:E5"/>
    <mergeCell ref="F5:G5"/>
    <mergeCell ref="G45:I45"/>
    <mergeCell ref="G47:I47"/>
    <mergeCell ref="B14:E14"/>
    <mergeCell ref="F14:G14"/>
    <mergeCell ref="A22:I22"/>
    <mergeCell ref="B24:F24"/>
    <mergeCell ref="G24:H24"/>
    <mergeCell ref="G63:I63"/>
    <mergeCell ref="A1:I1"/>
    <mergeCell ref="A12:I12"/>
    <mergeCell ref="A17:B17"/>
    <mergeCell ref="C19:D19"/>
    <mergeCell ref="A16:B16"/>
    <mergeCell ref="E19:F19"/>
    <mergeCell ref="G19:I19"/>
    <mergeCell ref="E62:F62"/>
    <mergeCell ref="A52:I52"/>
    <mergeCell ref="B55:H55"/>
    <mergeCell ref="A27:C27"/>
    <mergeCell ref="B36:H36"/>
    <mergeCell ref="C45:D45"/>
    <mergeCell ref="E45:F45"/>
    <mergeCell ref="E31:F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D62" sqref="D62"/>
    </sheetView>
  </sheetViews>
  <sheetFormatPr defaultRowHeight="15" x14ac:dyDescent="0.25"/>
  <cols>
    <col min="3" max="3" width="10.5703125" bestFit="1" customWidth="1"/>
    <col min="7" max="7" width="12.5703125" bestFit="1" customWidth="1"/>
  </cols>
  <sheetData>
    <row r="1" spans="1:9" ht="34.5" thickBot="1" x14ac:dyDescent="0.55000000000000004">
      <c r="A1" s="449" t="s">
        <v>107</v>
      </c>
      <c r="B1" s="450"/>
      <c r="C1" s="450"/>
      <c r="D1" s="450"/>
      <c r="E1" s="450"/>
      <c r="F1" s="450"/>
      <c r="G1" s="450"/>
      <c r="H1" s="450"/>
      <c r="I1" s="451"/>
    </row>
    <row r="2" spans="1:9" ht="15" customHeight="1" x14ac:dyDescent="0.5">
      <c r="A2" s="2"/>
      <c r="B2" s="2"/>
      <c r="C2" s="2"/>
      <c r="D2" s="2"/>
      <c r="E2" s="2"/>
      <c r="F2" s="2"/>
      <c r="G2" s="2"/>
      <c r="H2" s="2"/>
      <c r="I2" s="2"/>
    </row>
    <row r="3" spans="1:9" s="66" customFormat="1" ht="20.25" customHeight="1" x14ac:dyDescent="0.35">
      <c r="A3" s="601" t="s">
        <v>114</v>
      </c>
      <c r="B3" s="602"/>
      <c r="C3" s="602"/>
      <c r="D3" s="602"/>
      <c r="E3" s="602"/>
      <c r="F3" s="602"/>
      <c r="G3" s="602"/>
      <c r="H3" s="602"/>
      <c r="I3" s="603"/>
    </row>
    <row r="4" spans="1:9" ht="15" customHeight="1" thickBot="1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ht="27" thickBot="1" x14ac:dyDescent="0.45">
      <c r="A5" s="1" t="s">
        <v>0</v>
      </c>
      <c r="B5" s="468" t="s">
        <v>147</v>
      </c>
      <c r="C5" s="469"/>
      <c r="D5" s="469"/>
      <c r="E5" s="469"/>
      <c r="F5" s="469"/>
      <c r="G5" s="469"/>
      <c r="H5" s="470"/>
      <c r="I5" t="s">
        <v>108</v>
      </c>
    </row>
    <row r="6" spans="1:9" x14ac:dyDescent="0.25">
      <c r="B6" s="1" t="s">
        <v>109</v>
      </c>
      <c r="C6" t="s">
        <v>110</v>
      </c>
      <c r="I6" t="s">
        <v>111</v>
      </c>
    </row>
    <row r="7" spans="1:9" x14ac:dyDescent="0.25">
      <c r="B7" s="5" t="s">
        <v>152</v>
      </c>
      <c r="C7" t="s">
        <v>112</v>
      </c>
      <c r="I7" t="s">
        <v>113</v>
      </c>
    </row>
    <row r="9" spans="1:9" x14ac:dyDescent="0.25">
      <c r="A9" s="563" t="s">
        <v>146</v>
      </c>
      <c r="B9" s="563"/>
      <c r="C9" s="90">
        <v>24</v>
      </c>
      <c r="D9" s="4" t="s">
        <v>113</v>
      </c>
    </row>
    <row r="10" spans="1:9" ht="15.75" thickBot="1" x14ac:dyDescent="0.3"/>
    <row r="11" spans="1:9" s="8" customFormat="1" ht="30" thickBot="1" x14ac:dyDescent="0.45">
      <c r="A11" s="62" t="s">
        <v>148</v>
      </c>
      <c r="B11" s="9" t="s">
        <v>8</v>
      </c>
      <c r="C11" s="600">
        <f>IF(C9&lt;30,8,8+0.8*(C9-30))</f>
        <v>8</v>
      </c>
      <c r="D11" s="600"/>
      <c r="E11" s="10" t="s">
        <v>115</v>
      </c>
    </row>
    <row r="13" spans="1:9" x14ac:dyDescent="0.25">
      <c r="A13" s="6" t="s">
        <v>116</v>
      </c>
    </row>
    <row r="14" spans="1:9" x14ac:dyDescent="0.25">
      <c r="A14" s="41" t="s">
        <v>117</v>
      </c>
      <c r="B14" s="90">
        <v>2.15</v>
      </c>
      <c r="C14" s="4" t="s">
        <v>3</v>
      </c>
    </row>
    <row r="15" spans="1:9" x14ac:dyDescent="0.25">
      <c r="A15" s="41" t="s">
        <v>118</v>
      </c>
      <c r="B15" s="90">
        <v>1.7</v>
      </c>
      <c r="C15" s="4" t="s">
        <v>3</v>
      </c>
    </row>
    <row r="16" spans="1:9" x14ac:dyDescent="0.25">
      <c r="A16" s="41" t="s">
        <v>119</v>
      </c>
      <c r="B16" s="90">
        <v>1.9</v>
      </c>
      <c r="C16" s="4" t="s">
        <v>3</v>
      </c>
    </row>
    <row r="17" spans="1:9" ht="15.75" thickBot="1" x14ac:dyDescent="0.3"/>
    <row r="18" spans="1:9" s="8" customFormat="1" ht="30" thickBot="1" x14ac:dyDescent="0.45">
      <c r="A18" s="62" t="s">
        <v>149</v>
      </c>
      <c r="B18" s="9" t="s">
        <v>8</v>
      </c>
      <c r="C18" s="600">
        <f>B14*B15*B16</f>
        <v>6.9444999999999997</v>
      </c>
      <c r="D18" s="600"/>
      <c r="E18" s="10" t="s">
        <v>115</v>
      </c>
    </row>
    <row r="19" spans="1:9" ht="15.75" thickBot="1" x14ac:dyDescent="0.3"/>
    <row r="20" spans="1:9" s="31" customFormat="1" ht="27" thickBot="1" x14ac:dyDescent="0.45">
      <c r="A20" s="605" t="s">
        <v>120</v>
      </c>
      <c r="B20" s="604"/>
      <c r="C20" s="604" t="s">
        <v>150</v>
      </c>
      <c r="D20" s="604"/>
      <c r="E20" s="606" t="str">
        <f>IF(C18&lt;C11,"NESPLNĚNA","SPLNĚNA")</f>
        <v>NESPLNĚNA</v>
      </c>
      <c r="F20" s="606"/>
      <c r="G20" s="607"/>
    </row>
    <row r="22" spans="1:9" s="66" customFormat="1" ht="20.25" customHeight="1" x14ac:dyDescent="0.35">
      <c r="A22" s="601" t="s">
        <v>121</v>
      </c>
      <c r="B22" s="602"/>
      <c r="C22" s="602"/>
      <c r="D22" s="602"/>
      <c r="E22" s="602"/>
      <c r="F22" s="602"/>
      <c r="G22" s="602"/>
      <c r="H22" s="602"/>
      <c r="I22" s="603"/>
    </row>
    <row r="23" spans="1:9" ht="15.75" thickBot="1" x14ac:dyDescent="0.3"/>
    <row r="24" spans="1:9" ht="27" thickBot="1" x14ac:dyDescent="0.45">
      <c r="A24" s="1" t="s">
        <v>0</v>
      </c>
      <c r="B24" s="468" t="s">
        <v>151</v>
      </c>
      <c r="C24" s="469"/>
      <c r="D24" s="469"/>
      <c r="E24" s="469"/>
      <c r="F24" s="469"/>
      <c r="G24" s="469"/>
      <c r="H24" s="470"/>
      <c r="I24" t="s">
        <v>122</v>
      </c>
    </row>
    <row r="25" spans="1:9" x14ac:dyDescent="0.25">
      <c r="B25" s="5" t="s">
        <v>152</v>
      </c>
      <c r="C25" t="s">
        <v>112</v>
      </c>
      <c r="I25" t="s">
        <v>113</v>
      </c>
    </row>
    <row r="26" spans="1:9" x14ac:dyDescent="0.25">
      <c r="B26" s="1" t="s">
        <v>124</v>
      </c>
      <c r="C26" t="s">
        <v>125</v>
      </c>
      <c r="I26" t="s">
        <v>123</v>
      </c>
    </row>
    <row r="27" spans="1:9" x14ac:dyDescent="0.25">
      <c r="C27" t="s">
        <v>126</v>
      </c>
      <c r="E27">
        <v>2.2000000000000002</v>
      </c>
    </row>
    <row r="28" spans="1:9" ht="15.75" thickBot="1" x14ac:dyDescent="0.3"/>
    <row r="29" spans="1:9" s="8" customFormat="1" ht="30" thickBot="1" x14ac:dyDescent="0.45">
      <c r="A29" s="62" t="s">
        <v>130</v>
      </c>
      <c r="B29" s="9" t="s">
        <v>8</v>
      </c>
      <c r="C29" s="600">
        <f>C9*E27</f>
        <v>52.800000000000004</v>
      </c>
      <c r="D29" s="600"/>
      <c r="E29" s="606" t="s">
        <v>131</v>
      </c>
      <c r="F29" s="607"/>
    </row>
    <row r="31" spans="1:9" s="66" customFormat="1" ht="20.25" customHeight="1" x14ac:dyDescent="0.35">
      <c r="A31" s="601" t="s">
        <v>132</v>
      </c>
      <c r="B31" s="602"/>
      <c r="C31" s="602"/>
      <c r="D31" s="602"/>
      <c r="E31" s="602"/>
      <c r="F31" s="602"/>
      <c r="G31" s="602"/>
      <c r="H31" s="602"/>
      <c r="I31" s="603"/>
    </row>
    <row r="32" spans="1:9" ht="15.75" thickBot="1" x14ac:dyDescent="0.3"/>
    <row r="33" spans="1:9" ht="27" thickBot="1" x14ac:dyDescent="0.45">
      <c r="A33" s="1" t="s">
        <v>0</v>
      </c>
      <c r="B33" s="468" t="s">
        <v>136</v>
      </c>
      <c r="C33" s="469"/>
      <c r="D33" s="469"/>
      <c r="E33" s="469"/>
      <c r="F33" s="469"/>
      <c r="G33" s="469"/>
      <c r="H33" s="470"/>
      <c r="I33" t="s">
        <v>133</v>
      </c>
    </row>
    <row r="34" spans="1:9" ht="30" customHeight="1" x14ac:dyDescent="0.25">
      <c r="B34" s="67" t="s">
        <v>134</v>
      </c>
      <c r="C34" s="608" t="s">
        <v>135</v>
      </c>
      <c r="D34" s="608"/>
      <c r="E34" s="608"/>
      <c r="F34" s="608"/>
      <c r="G34" s="608"/>
      <c r="H34" s="608"/>
      <c r="I34" s="68" t="s">
        <v>141</v>
      </c>
    </row>
    <row r="35" spans="1:9" ht="30" customHeight="1" x14ac:dyDescent="0.25">
      <c r="B35" s="67" t="s">
        <v>137</v>
      </c>
      <c r="C35" s="608" t="s">
        <v>138</v>
      </c>
      <c r="D35" s="608"/>
      <c r="E35" s="608"/>
      <c r="F35" s="608"/>
      <c r="G35" s="608"/>
      <c r="H35" s="608"/>
      <c r="I35" s="68" t="s">
        <v>141</v>
      </c>
    </row>
    <row r="36" spans="1:9" ht="30" customHeight="1" x14ac:dyDescent="0.25">
      <c r="B36" s="67" t="s">
        <v>139</v>
      </c>
      <c r="C36" s="608" t="s">
        <v>140</v>
      </c>
      <c r="D36" s="608"/>
      <c r="E36" s="608"/>
      <c r="F36" s="608"/>
      <c r="G36" s="608"/>
      <c r="H36" s="608"/>
      <c r="I36" s="68" t="s">
        <v>141</v>
      </c>
    </row>
    <row r="37" spans="1:9" ht="30" customHeight="1" x14ac:dyDescent="0.25">
      <c r="B37" s="67" t="s">
        <v>142</v>
      </c>
      <c r="C37" s="608" t="s">
        <v>143</v>
      </c>
      <c r="D37" s="608"/>
      <c r="E37" s="608"/>
      <c r="F37" s="608"/>
      <c r="G37" s="608"/>
      <c r="H37" s="608"/>
      <c r="I37" s="68" t="s">
        <v>141</v>
      </c>
    </row>
    <row r="38" spans="1:9" ht="30" customHeight="1" thickBot="1" x14ac:dyDescent="0.3">
      <c r="B38" s="67" t="s">
        <v>144</v>
      </c>
      <c r="C38" s="608" t="s">
        <v>145</v>
      </c>
      <c r="D38" s="608"/>
      <c r="E38" s="608"/>
      <c r="F38" s="608"/>
      <c r="G38" s="608"/>
      <c r="H38" s="608"/>
      <c r="I38" s="68" t="s">
        <v>141</v>
      </c>
    </row>
    <row r="39" spans="1:9" ht="27" thickBot="1" x14ac:dyDescent="0.45">
      <c r="A39" s="1" t="s">
        <v>0</v>
      </c>
      <c r="B39" s="468" t="s">
        <v>154</v>
      </c>
      <c r="C39" s="469"/>
      <c r="D39" s="469"/>
      <c r="E39" s="469"/>
      <c r="F39" s="469"/>
      <c r="G39" s="469"/>
      <c r="H39" s="470"/>
      <c r="I39" t="s">
        <v>122</v>
      </c>
    </row>
    <row r="40" spans="1:9" s="65" customFormat="1" ht="30" customHeight="1" x14ac:dyDescent="0.25">
      <c r="A40" s="69"/>
      <c r="B40" s="70" t="s">
        <v>155</v>
      </c>
      <c r="C40" s="610" t="s">
        <v>153</v>
      </c>
      <c r="D40" s="610"/>
      <c r="E40" s="610"/>
      <c r="F40" s="610"/>
      <c r="G40" s="610"/>
      <c r="H40" s="610"/>
      <c r="I40" s="71" t="s">
        <v>113</v>
      </c>
    </row>
    <row r="41" spans="1:9" x14ac:dyDescent="0.25">
      <c r="B41" s="67" t="s">
        <v>124</v>
      </c>
      <c r="C41" t="s">
        <v>127</v>
      </c>
      <c r="E41">
        <v>2</v>
      </c>
    </row>
    <row r="42" spans="1:9" x14ac:dyDescent="0.25">
      <c r="C42" t="s">
        <v>128</v>
      </c>
      <c r="G42">
        <v>3.5</v>
      </c>
    </row>
    <row r="43" spans="1:9" x14ac:dyDescent="0.25">
      <c r="C43" t="s">
        <v>129</v>
      </c>
      <c r="G43">
        <v>4</v>
      </c>
    </row>
    <row r="44" spans="1:9" x14ac:dyDescent="0.25">
      <c r="A44" s="611" t="s">
        <v>156</v>
      </c>
      <c r="B44" s="563"/>
      <c r="C44" s="563"/>
      <c r="D44" s="563"/>
      <c r="E44" s="90">
        <v>0</v>
      </c>
      <c r="F44" s="4" t="s">
        <v>113</v>
      </c>
      <c r="G44" s="72" t="s">
        <v>160</v>
      </c>
      <c r="H44" s="4">
        <f>E44*E41</f>
        <v>0</v>
      </c>
      <c r="I44" s="4" t="s">
        <v>122</v>
      </c>
    </row>
    <row r="45" spans="1:9" x14ac:dyDescent="0.25">
      <c r="A45" s="611" t="s">
        <v>157</v>
      </c>
      <c r="B45" s="563"/>
      <c r="C45" s="563"/>
      <c r="D45" s="563"/>
      <c r="E45" s="90">
        <v>0</v>
      </c>
      <c r="F45" s="4" t="s">
        <v>113</v>
      </c>
      <c r="G45" s="72" t="s">
        <v>160</v>
      </c>
      <c r="H45" s="4">
        <f>E45*G42</f>
        <v>0</v>
      </c>
      <c r="I45" s="4" t="s">
        <v>122</v>
      </c>
    </row>
    <row r="46" spans="1:9" x14ac:dyDescent="0.25">
      <c r="A46" s="611" t="s">
        <v>158</v>
      </c>
      <c r="B46" s="563"/>
      <c r="C46" s="563"/>
      <c r="D46" s="563"/>
      <c r="E46" s="90">
        <v>0</v>
      </c>
      <c r="F46" s="4" t="s">
        <v>113</v>
      </c>
      <c r="G46" s="72" t="s">
        <v>160</v>
      </c>
      <c r="H46" s="4">
        <f>E46*G43</f>
        <v>0</v>
      </c>
      <c r="I46" s="4" t="s">
        <v>122</v>
      </c>
    </row>
    <row r="47" spans="1:9" x14ac:dyDescent="0.25">
      <c r="G47" s="73" t="s">
        <v>159</v>
      </c>
      <c r="H47" s="74">
        <f>SUM(H44:H46)</f>
        <v>0</v>
      </c>
      <c r="I47" s="4" t="s">
        <v>122</v>
      </c>
    </row>
    <row r="48" spans="1:9" x14ac:dyDescent="0.25">
      <c r="B48" s="75" t="s">
        <v>134</v>
      </c>
      <c r="C48" s="90">
        <v>20</v>
      </c>
      <c r="D48" s="4" t="s">
        <v>122</v>
      </c>
    </row>
    <row r="49" spans="1:9" x14ac:dyDescent="0.25">
      <c r="A49" s="4" t="s">
        <v>176</v>
      </c>
      <c r="B49" s="75" t="s">
        <v>177</v>
      </c>
      <c r="C49" s="90">
        <v>1</v>
      </c>
      <c r="D49" s="89" t="s">
        <v>180</v>
      </c>
      <c r="E49" s="4" t="s">
        <v>177</v>
      </c>
      <c r="F49" s="90">
        <v>0</v>
      </c>
      <c r="G49" s="90">
        <v>0</v>
      </c>
      <c r="H49" s="90">
        <v>0</v>
      </c>
      <c r="I49" s="4" t="s">
        <v>179</v>
      </c>
    </row>
    <row r="50" spans="1:9" x14ac:dyDescent="0.25">
      <c r="B50" s="75" t="s">
        <v>178</v>
      </c>
      <c r="C50" s="90">
        <v>800</v>
      </c>
      <c r="E50" s="4" t="s">
        <v>178</v>
      </c>
      <c r="F50" s="90">
        <v>70</v>
      </c>
      <c r="G50" s="90">
        <v>100</v>
      </c>
      <c r="H50" s="90">
        <v>200</v>
      </c>
      <c r="I50" s="4" t="s">
        <v>122</v>
      </c>
    </row>
    <row r="51" spans="1:9" x14ac:dyDescent="0.25">
      <c r="B51" s="75" t="s">
        <v>142</v>
      </c>
      <c r="C51" s="88">
        <f>(C50*C49)+(F49*F50)+(G49*G50)+(H49*H50)</f>
        <v>800</v>
      </c>
      <c r="D51" s="4" t="s">
        <v>122</v>
      </c>
    </row>
    <row r="52" spans="1:9" ht="15.75" thickBot="1" x14ac:dyDescent="0.3"/>
    <row r="53" spans="1:9" ht="30" thickBot="1" x14ac:dyDescent="0.45">
      <c r="A53" s="609" t="s">
        <v>161</v>
      </c>
      <c r="B53" s="445"/>
      <c r="C53" s="445"/>
      <c r="D53" s="445"/>
      <c r="E53" s="445"/>
      <c r="F53" s="445"/>
      <c r="G53" s="76">
        <f>C48+C29+H47+C51</f>
        <v>872.8</v>
      </c>
      <c r="H53" s="606" t="s">
        <v>131</v>
      </c>
      <c r="I53" s="607"/>
    </row>
    <row r="54" spans="1:9" x14ac:dyDescent="0.25">
      <c r="A54" s="1"/>
    </row>
    <row r="55" spans="1:9" s="66" customFormat="1" ht="20.25" customHeight="1" x14ac:dyDescent="0.35">
      <c r="A55" s="601" t="s">
        <v>162</v>
      </c>
      <c r="B55" s="602"/>
      <c r="C55" s="602"/>
      <c r="D55" s="602"/>
      <c r="E55" s="602"/>
      <c r="F55" s="602"/>
      <c r="G55" s="602"/>
      <c r="H55" s="602"/>
      <c r="I55" s="603"/>
    </row>
    <row r="56" spans="1:9" ht="15.75" thickBot="1" x14ac:dyDescent="0.3"/>
    <row r="57" spans="1:9" ht="27" thickBot="1" x14ac:dyDescent="0.45">
      <c r="A57" s="1" t="s">
        <v>0</v>
      </c>
      <c r="B57" s="468" t="s">
        <v>172</v>
      </c>
      <c r="C57" s="469"/>
      <c r="D57" s="469"/>
      <c r="E57" s="469"/>
      <c r="F57" s="469"/>
      <c r="G57" s="469"/>
      <c r="H57" s="470"/>
      <c r="I57" t="s">
        <v>163</v>
      </c>
    </row>
    <row r="58" spans="1:9" x14ac:dyDescent="0.25">
      <c r="B58" s="70" t="s">
        <v>164</v>
      </c>
      <c r="C58" t="s">
        <v>167</v>
      </c>
      <c r="H58" t="s">
        <v>163</v>
      </c>
    </row>
    <row r="59" spans="1:9" x14ac:dyDescent="0.25">
      <c r="B59" s="70" t="s">
        <v>165</v>
      </c>
      <c r="C59" t="s">
        <v>168</v>
      </c>
      <c r="H59" t="s">
        <v>122</v>
      </c>
    </row>
    <row r="60" spans="1:9" x14ac:dyDescent="0.25">
      <c r="B60" s="1" t="s">
        <v>166</v>
      </c>
      <c r="C60" t="s">
        <v>169</v>
      </c>
      <c r="H60" t="s">
        <v>170</v>
      </c>
    </row>
    <row r="61" spans="1:9" x14ac:dyDescent="0.25">
      <c r="C61" s="41" t="s">
        <v>166</v>
      </c>
      <c r="D61" s="90">
        <v>0.5</v>
      </c>
      <c r="E61" s="4" t="s">
        <v>170</v>
      </c>
    </row>
    <row r="62" spans="1:9" ht="15.75" thickBot="1" x14ac:dyDescent="0.3"/>
    <row r="63" spans="1:9" ht="27" thickBot="1" x14ac:dyDescent="0.45">
      <c r="A63" s="612" t="s">
        <v>171</v>
      </c>
      <c r="B63" s="613"/>
      <c r="C63" s="86">
        <f>G53/(3600*D61)</f>
        <v>0.48488888888888887</v>
      </c>
      <c r="D63" s="87" t="s">
        <v>163</v>
      </c>
      <c r="F63" s="63"/>
      <c r="G63" s="63"/>
      <c r="H63" s="77"/>
    </row>
    <row r="64" spans="1:9" s="64" customFormat="1" ht="26.25" x14ac:dyDescent="0.4">
      <c r="B64" s="78" t="s">
        <v>173</v>
      </c>
      <c r="C64" s="79"/>
      <c r="D64" s="79"/>
      <c r="E64" s="79"/>
      <c r="F64" s="80">
        <f>SQRT(C63/PI())*1000*2</f>
        <v>785.73513866698613</v>
      </c>
      <c r="G64" s="81" t="s">
        <v>175</v>
      </c>
    </row>
    <row r="65" spans="1:9" s="64" customFormat="1" ht="27" thickBot="1" x14ac:dyDescent="0.45">
      <c r="B65" s="82" t="s">
        <v>174</v>
      </c>
      <c r="C65" s="83"/>
      <c r="D65" s="83"/>
      <c r="E65" s="83"/>
      <c r="F65" s="84">
        <f>SQRT(C63)*1000</f>
        <v>696.33963616103961</v>
      </c>
      <c r="G65" s="85" t="s">
        <v>175</v>
      </c>
    </row>
    <row r="67" spans="1:9" s="66" customFormat="1" ht="20.25" customHeight="1" x14ac:dyDescent="0.35">
      <c r="A67" s="601" t="s">
        <v>182</v>
      </c>
      <c r="B67" s="602"/>
      <c r="C67" s="602"/>
      <c r="D67" s="602"/>
      <c r="E67" s="602"/>
      <c r="F67" s="602"/>
      <c r="G67" s="602"/>
      <c r="H67" s="602"/>
      <c r="I67" s="603"/>
    </row>
    <row r="68" spans="1:9" ht="15.75" thickBot="1" x14ac:dyDescent="0.3"/>
    <row r="69" spans="1:9" ht="27" thickBot="1" x14ac:dyDescent="0.45">
      <c r="A69" s="1" t="s">
        <v>0</v>
      </c>
      <c r="B69" s="468" t="s">
        <v>183</v>
      </c>
      <c r="C69" s="469"/>
      <c r="D69" s="469"/>
      <c r="E69" s="469"/>
      <c r="F69" s="469"/>
      <c r="G69" s="469"/>
      <c r="H69" s="470"/>
      <c r="I69" t="s">
        <v>163</v>
      </c>
    </row>
    <row r="70" spans="1:9" x14ac:dyDescent="0.25">
      <c r="B70" s="70" t="s">
        <v>184</v>
      </c>
      <c r="C70" t="s">
        <v>185</v>
      </c>
      <c r="H70" t="s">
        <v>163</v>
      </c>
    </row>
    <row r="71" spans="1:9" x14ac:dyDescent="0.25">
      <c r="B71" s="70" t="s">
        <v>164</v>
      </c>
      <c r="C71" t="s">
        <v>167</v>
      </c>
      <c r="H71" t="s">
        <v>163</v>
      </c>
    </row>
    <row r="72" spans="1:9" x14ac:dyDescent="0.25">
      <c r="B72" s="1" t="s">
        <v>186</v>
      </c>
      <c r="C72" t="s">
        <v>187</v>
      </c>
    </row>
    <row r="73" spans="1:9" x14ac:dyDescent="0.25">
      <c r="C73" s="91" t="s">
        <v>186</v>
      </c>
      <c r="D73" s="90">
        <v>5</v>
      </c>
      <c r="E73" s="4" t="s">
        <v>188</v>
      </c>
    </row>
    <row r="74" spans="1:9" ht="15.75" thickBot="1" x14ac:dyDescent="0.3"/>
    <row r="75" spans="1:9" ht="27" thickBot="1" x14ac:dyDescent="0.45">
      <c r="A75" s="612" t="s">
        <v>189</v>
      </c>
      <c r="B75" s="613"/>
      <c r="C75" s="86">
        <f>C63*(1+D73/100)</f>
        <v>0.50913333333333333</v>
      </c>
      <c r="D75" s="87" t="s">
        <v>163</v>
      </c>
      <c r="F75" s="63"/>
      <c r="G75" s="63"/>
      <c r="H75" s="77"/>
    </row>
    <row r="76" spans="1:9" s="64" customFormat="1" ht="26.25" x14ac:dyDescent="0.4">
      <c r="B76" s="78" t="s">
        <v>173</v>
      </c>
      <c r="C76" s="79"/>
      <c r="D76" s="79"/>
      <c r="E76" s="79"/>
      <c r="F76" s="80">
        <f>SQRT(C75/PI())*1000*2</f>
        <v>805.13892810050436</v>
      </c>
      <c r="G76" s="81" t="s">
        <v>175</v>
      </c>
    </row>
    <row r="77" spans="1:9" s="64" customFormat="1" ht="27" thickBot="1" x14ac:dyDescent="0.45">
      <c r="B77" s="82" t="s">
        <v>174</v>
      </c>
      <c r="C77" s="83"/>
      <c r="D77" s="83"/>
      <c r="E77" s="83"/>
      <c r="F77" s="84">
        <f>SQRT(C75)*1000</f>
        <v>713.53579681283918</v>
      </c>
      <c r="G77" s="85" t="s">
        <v>175</v>
      </c>
    </row>
  </sheetData>
  <mergeCells count="33">
    <mergeCell ref="A67:I67"/>
    <mergeCell ref="B69:H69"/>
    <mergeCell ref="A75:B75"/>
    <mergeCell ref="A55:I55"/>
    <mergeCell ref="B57:H57"/>
    <mergeCell ref="A63:B63"/>
    <mergeCell ref="C29:D29"/>
    <mergeCell ref="E29:F29"/>
    <mergeCell ref="A31:I31"/>
    <mergeCell ref="B33:H33"/>
    <mergeCell ref="H53:I53"/>
    <mergeCell ref="C34:H34"/>
    <mergeCell ref="C35:H35"/>
    <mergeCell ref="C36:H36"/>
    <mergeCell ref="C37:H37"/>
    <mergeCell ref="C38:H38"/>
    <mergeCell ref="A53:F53"/>
    <mergeCell ref="B39:H39"/>
    <mergeCell ref="C40:H40"/>
    <mergeCell ref="A45:D45"/>
    <mergeCell ref="A46:D46"/>
    <mergeCell ref="A44:D44"/>
    <mergeCell ref="B24:H24"/>
    <mergeCell ref="A1:I1"/>
    <mergeCell ref="A9:B9"/>
    <mergeCell ref="C11:D11"/>
    <mergeCell ref="A3:I3"/>
    <mergeCell ref="B5:H5"/>
    <mergeCell ref="C18:D18"/>
    <mergeCell ref="C20:D20"/>
    <mergeCell ref="A20:B20"/>
    <mergeCell ref="E20:G20"/>
    <mergeCell ref="A22:I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34" workbookViewId="0">
      <selection activeCell="D38" sqref="D38:E38"/>
    </sheetView>
  </sheetViews>
  <sheetFormatPr defaultRowHeight="15" x14ac:dyDescent="0.25"/>
  <cols>
    <col min="3" max="3" width="10.5703125" bestFit="1" customWidth="1"/>
    <col min="7" max="7" width="12.5703125" bestFit="1" customWidth="1"/>
    <col min="12" max="12" width="10.5703125" bestFit="1" customWidth="1"/>
    <col min="16" max="16" width="12.5703125" bestFit="1" customWidth="1"/>
  </cols>
  <sheetData>
    <row r="1" spans="1:9" ht="34.5" thickBot="1" x14ac:dyDescent="0.55000000000000004">
      <c r="A1" s="449" t="s">
        <v>190</v>
      </c>
      <c r="B1" s="450"/>
      <c r="C1" s="450"/>
      <c r="D1" s="450"/>
      <c r="E1" s="450"/>
      <c r="F1" s="450"/>
      <c r="G1" s="450"/>
      <c r="H1" s="450"/>
      <c r="I1" s="451"/>
    </row>
    <row r="2" spans="1:9" ht="15" customHeight="1" x14ac:dyDescent="0.5">
      <c r="A2" s="2"/>
      <c r="B2" s="2"/>
      <c r="C2" s="2"/>
      <c r="D2" s="2"/>
      <c r="E2" s="2"/>
      <c r="F2" s="2"/>
      <c r="G2" s="2"/>
      <c r="H2" s="2"/>
      <c r="I2" s="2"/>
    </row>
    <row r="3" spans="1:9" s="66" customFormat="1" ht="20.25" customHeight="1" x14ac:dyDescent="0.35">
      <c r="A3" s="601" t="s">
        <v>191</v>
      </c>
      <c r="B3" s="602"/>
      <c r="C3" s="602"/>
      <c r="D3" s="602"/>
      <c r="E3" s="602"/>
      <c r="F3" s="602"/>
      <c r="G3" s="602"/>
      <c r="H3" s="602"/>
      <c r="I3" s="603"/>
    </row>
    <row r="4" spans="1:9" ht="15" customHeight="1" thickBot="1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ht="27" thickBot="1" x14ac:dyDescent="0.45">
      <c r="A5" s="1" t="s">
        <v>0</v>
      </c>
      <c r="B5" s="609" t="s">
        <v>211</v>
      </c>
      <c r="C5" s="445"/>
      <c r="D5" s="445"/>
      <c r="E5" s="445"/>
      <c r="F5" s="445"/>
      <c r="G5" s="445"/>
      <c r="H5" s="446"/>
      <c r="I5" t="s">
        <v>192</v>
      </c>
    </row>
    <row r="6" spans="1:9" x14ac:dyDescent="0.25">
      <c r="B6" s="1" t="s">
        <v>201</v>
      </c>
      <c r="C6" t="s">
        <v>193</v>
      </c>
      <c r="H6" t="s">
        <v>194</v>
      </c>
    </row>
    <row r="7" spans="1:9" x14ac:dyDescent="0.25">
      <c r="B7" s="5" t="s">
        <v>124</v>
      </c>
      <c r="C7" t="s">
        <v>195</v>
      </c>
      <c r="H7" t="s">
        <v>196</v>
      </c>
    </row>
    <row r="8" spans="1:9" x14ac:dyDescent="0.25">
      <c r="B8" s="5" t="s">
        <v>197</v>
      </c>
      <c r="C8" t="s">
        <v>198</v>
      </c>
      <c r="E8" t="s">
        <v>200</v>
      </c>
      <c r="H8" t="s">
        <v>199</v>
      </c>
    </row>
    <row r="9" spans="1:9" x14ac:dyDescent="0.25">
      <c r="B9" s="1" t="s">
        <v>202</v>
      </c>
      <c r="C9" t="s">
        <v>203</v>
      </c>
      <c r="H9" t="s">
        <v>204</v>
      </c>
    </row>
    <row r="10" spans="1:9" x14ac:dyDescent="0.25">
      <c r="B10" s="1" t="s">
        <v>205</v>
      </c>
      <c r="C10" t="s">
        <v>206</v>
      </c>
      <c r="H10" t="s">
        <v>4</v>
      </c>
    </row>
    <row r="11" spans="1:9" x14ac:dyDescent="0.25">
      <c r="B11" s="1" t="s">
        <v>207</v>
      </c>
      <c r="C11" t="s">
        <v>209</v>
      </c>
      <c r="H11" t="s">
        <v>163</v>
      </c>
    </row>
    <row r="12" spans="1:9" x14ac:dyDescent="0.25">
      <c r="B12" s="1" t="s">
        <v>208</v>
      </c>
      <c r="C12" t="s">
        <v>210</v>
      </c>
      <c r="H12" t="s">
        <v>170</v>
      </c>
    </row>
    <row r="14" spans="1:9" ht="15.75" thickBot="1" x14ac:dyDescent="0.3">
      <c r="A14" t="s">
        <v>212</v>
      </c>
      <c r="B14" s="92" t="s">
        <v>213</v>
      </c>
      <c r="C14" s="3">
        <v>340</v>
      </c>
      <c r="D14" s="4" t="s">
        <v>215</v>
      </c>
    </row>
    <row r="15" spans="1:9" ht="15.75" thickBot="1" x14ac:dyDescent="0.3">
      <c r="B15" s="92" t="s">
        <v>214</v>
      </c>
      <c r="C15" s="3">
        <v>270</v>
      </c>
      <c r="D15" s="4" t="s">
        <v>215</v>
      </c>
      <c r="F15" s="620" t="s">
        <v>216</v>
      </c>
      <c r="G15" s="621"/>
      <c r="H15" s="93">
        <f>C14-C15</f>
        <v>70</v>
      </c>
      <c r="I15" s="94" t="s">
        <v>186</v>
      </c>
    </row>
    <row r="16" spans="1:9" x14ac:dyDescent="0.25">
      <c r="B16" s="104" t="s">
        <v>124</v>
      </c>
      <c r="C16" s="3">
        <v>1370</v>
      </c>
      <c r="D16" s="4" t="s">
        <v>196</v>
      </c>
      <c r="G16" s="336" t="s">
        <v>217</v>
      </c>
      <c r="H16">
        <v>1010</v>
      </c>
      <c r="I16" t="s">
        <v>196</v>
      </c>
    </row>
    <row r="17" spans="1:9" x14ac:dyDescent="0.25">
      <c r="B17" s="104" t="s">
        <v>201</v>
      </c>
      <c r="C17" s="117">
        <f>IF(E17&gt;0,E17/3600,C19*C18)</f>
        <v>5.6961562499999998E-3</v>
      </c>
      <c r="D17" s="4" t="s">
        <v>194</v>
      </c>
      <c r="E17" s="3">
        <v>0</v>
      </c>
      <c r="F17" s="92" t="s">
        <v>223</v>
      </c>
      <c r="G17" s="101" t="s">
        <v>655</v>
      </c>
      <c r="H17" s="102">
        <v>1370</v>
      </c>
      <c r="I17" t="s">
        <v>196</v>
      </c>
    </row>
    <row r="18" spans="1:9" x14ac:dyDescent="0.25">
      <c r="B18" s="92" t="s">
        <v>205</v>
      </c>
      <c r="C18" s="3">
        <v>1.29</v>
      </c>
      <c r="D18" s="4" t="s">
        <v>4</v>
      </c>
      <c r="F18" s="623" t="s">
        <v>218</v>
      </c>
      <c r="G18" s="623"/>
      <c r="H18">
        <v>1.29</v>
      </c>
      <c r="I18" t="s">
        <v>4</v>
      </c>
    </row>
    <row r="19" spans="1:9" x14ac:dyDescent="0.25">
      <c r="B19" s="92" t="s">
        <v>202</v>
      </c>
      <c r="C19" s="117">
        <f>IF(E19&gt;0,E19/3600,IF(G19&gt;0,G19/1000,C20*SUM(G22:G23)))</f>
        <v>4.4156249999999994E-3</v>
      </c>
      <c r="D19" s="4" t="s">
        <v>204</v>
      </c>
      <c r="E19" s="3">
        <v>0</v>
      </c>
      <c r="F19" s="92" t="s">
        <v>122</v>
      </c>
      <c r="G19" s="105">
        <v>0</v>
      </c>
      <c r="H19" s="4" t="s">
        <v>224</v>
      </c>
    </row>
    <row r="20" spans="1:9" x14ac:dyDescent="0.25">
      <c r="B20" s="104" t="s">
        <v>208</v>
      </c>
      <c r="C20" s="3">
        <v>0.25</v>
      </c>
      <c r="D20" s="4" t="s">
        <v>170</v>
      </c>
      <c r="F20" s="95"/>
      <c r="G20" s="95"/>
    </row>
    <row r="21" spans="1:9" ht="15.75" thickBot="1" x14ac:dyDescent="0.3">
      <c r="B21" s="104" t="s">
        <v>219</v>
      </c>
      <c r="C21" s="3">
        <v>0</v>
      </c>
      <c r="D21" s="4" t="s">
        <v>3</v>
      </c>
      <c r="F21" s="95"/>
      <c r="G21" s="95"/>
    </row>
    <row r="22" spans="1:9" x14ac:dyDescent="0.25">
      <c r="B22" s="104" t="s">
        <v>219</v>
      </c>
      <c r="C22" s="3">
        <v>0</v>
      </c>
      <c r="D22" s="4" t="s">
        <v>3</v>
      </c>
      <c r="F22" s="96" t="s">
        <v>221</v>
      </c>
      <c r="G22" s="103" t="str">
        <f>IF(C23=0,C21*C22," ")</f>
        <v xml:space="preserve"> </v>
      </c>
      <c r="H22" s="97" t="s">
        <v>163</v>
      </c>
    </row>
    <row r="23" spans="1:9" ht="15.75" thickBot="1" x14ac:dyDescent="0.3">
      <c r="B23" s="104" t="s">
        <v>220</v>
      </c>
      <c r="C23" s="3">
        <v>0.15</v>
      </c>
      <c r="D23" s="4" t="s">
        <v>3</v>
      </c>
      <c r="F23" s="98" t="s">
        <v>222</v>
      </c>
      <c r="G23" s="99">
        <f>IF(C21=0,3.14*(C23/2)*(C23/2)," ")</f>
        <v>1.7662499999999998E-2</v>
      </c>
      <c r="H23" s="100" t="s">
        <v>163</v>
      </c>
    </row>
    <row r="24" spans="1:9" ht="15.75" thickBot="1" x14ac:dyDescent="0.3"/>
    <row r="25" spans="1:9" s="8" customFormat="1" ht="27" customHeight="1" thickBot="1" x14ac:dyDescent="0.45">
      <c r="B25" s="62" t="s">
        <v>225</v>
      </c>
      <c r="C25" s="9" t="s">
        <v>8</v>
      </c>
      <c r="D25" s="616">
        <f>C17*C16*H15</f>
        <v>546.26138437499992</v>
      </c>
      <c r="E25" s="616"/>
      <c r="F25" s="606" t="s">
        <v>192</v>
      </c>
      <c r="G25" s="607"/>
    </row>
    <row r="26" spans="1:9" ht="15.75" thickBot="1" x14ac:dyDescent="0.3"/>
    <row r="27" spans="1:9" s="66" customFormat="1" ht="34.5" customHeight="1" thickBot="1" x14ac:dyDescent="0.55000000000000004">
      <c r="A27" s="449" t="s">
        <v>226</v>
      </c>
      <c r="B27" s="450"/>
      <c r="C27" s="450"/>
      <c r="D27" s="450"/>
      <c r="E27" s="450"/>
      <c r="F27" s="450"/>
      <c r="G27" s="450"/>
      <c r="H27" s="450"/>
      <c r="I27" s="451"/>
    </row>
    <row r="28" spans="1:9" ht="15.75" thickBot="1" x14ac:dyDescent="0.3"/>
    <row r="29" spans="1:9" ht="27" thickBot="1" x14ac:dyDescent="0.45">
      <c r="A29" s="1" t="s">
        <v>0</v>
      </c>
      <c r="B29" s="609" t="s">
        <v>227</v>
      </c>
      <c r="C29" s="445"/>
      <c r="D29" s="445"/>
      <c r="E29" s="445"/>
      <c r="F29" s="445"/>
      <c r="G29" s="445"/>
      <c r="H29" s="446"/>
      <c r="I29" t="s">
        <v>228</v>
      </c>
    </row>
    <row r="30" spans="1:9" x14ac:dyDescent="0.25">
      <c r="B30" s="1" t="s">
        <v>229</v>
      </c>
      <c r="C30" t="s">
        <v>178</v>
      </c>
      <c r="H30" t="s">
        <v>192</v>
      </c>
    </row>
    <row r="31" spans="1:9" x14ac:dyDescent="0.25">
      <c r="B31" s="1" t="s">
        <v>231</v>
      </c>
      <c r="C31" t="s">
        <v>232</v>
      </c>
      <c r="H31" t="s">
        <v>230</v>
      </c>
    </row>
    <row r="33" spans="1:9" x14ac:dyDescent="0.25">
      <c r="A33" t="s">
        <v>212</v>
      </c>
      <c r="B33" s="90" t="s">
        <v>229</v>
      </c>
      <c r="C33" s="106">
        <f>D25</f>
        <v>546.26138437499992</v>
      </c>
      <c r="D33" s="3" t="s">
        <v>192</v>
      </c>
    </row>
    <row r="34" spans="1:9" x14ac:dyDescent="0.25">
      <c r="B34" s="90" t="s">
        <v>231</v>
      </c>
      <c r="C34" s="3">
        <f>IF(E34&gt;0,E34*3600,G34*24*3600)</f>
        <v>16200</v>
      </c>
      <c r="D34" s="3" t="s">
        <v>230</v>
      </c>
      <c r="E34" s="3">
        <v>4.5</v>
      </c>
      <c r="F34" s="3" t="s">
        <v>233</v>
      </c>
      <c r="G34" s="3">
        <v>0</v>
      </c>
      <c r="H34" s="3" t="s">
        <v>234</v>
      </c>
    </row>
    <row r="35" spans="1:9" ht="15.75" thickBot="1" x14ac:dyDescent="0.3"/>
    <row r="36" spans="1:9" ht="27" thickBot="1" x14ac:dyDescent="0.45">
      <c r="B36" s="62" t="s">
        <v>235</v>
      </c>
      <c r="C36" s="9" t="s">
        <v>8</v>
      </c>
      <c r="D36" s="616">
        <f>C33*C34</f>
        <v>8849434.426874999</v>
      </c>
      <c r="E36" s="616"/>
      <c r="F36" s="606" t="s">
        <v>228</v>
      </c>
      <c r="G36" s="607"/>
    </row>
    <row r="37" spans="1:9" ht="27" customHeight="1" thickBot="1" x14ac:dyDescent="0.45">
      <c r="D37" s="614">
        <f>D36/1000000</f>
        <v>8.8494344268749998</v>
      </c>
      <c r="E37" s="455"/>
      <c r="F37" s="606" t="s">
        <v>236</v>
      </c>
      <c r="G37" s="607"/>
    </row>
    <row r="38" spans="1:9" ht="27" customHeight="1" thickBot="1" x14ac:dyDescent="0.45">
      <c r="D38" s="614">
        <f>D37/3.6</f>
        <v>2.4581762296875</v>
      </c>
      <c r="E38" s="455"/>
      <c r="F38" s="606" t="s">
        <v>237</v>
      </c>
      <c r="G38" s="607"/>
    </row>
    <row r="39" spans="1:9" ht="15.75" thickBot="1" x14ac:dyDescent="0.3">
      <c r="B39" s="3" t="s">
        <v>238</v>
      </c>
      <c r="C39" s="3">
        <v>4.5</v>
      </c>
      <c r="D39" s="107" t="s">
        <v>239</v>
      </c>
    </row>
    <row r="40" spans="1:9" ht="27" customHeight="1" thickBot="1" x14ac:dyDescent="0.45">
      <c r="D40" s="615">
        <f>D38*C39</f>
        <v>11.06179303359375</v>
      </c>
      <c r="E40" s="616"/>
      <c r="F40" s="606" t="s">
        <v>240</v>
      </c>
      <c r="G40" s="607"/>
    </row>
    <row r="41" spans="1:9" ht="15.75" thickBot="1" x14ac:dyDescent="0.3"/>
    <row r="42" spans="1:9" ht="34.5" thickBot="1" x14ac:dyDescent="0.55000000000000004">
      <c r="A42" s="617" t="s">
        <v>306</v>
      </c>
      <c r="B42" s="618"/>
      <c r="C42" s="618"/>
      <c r="D42" s="618"/>
      <c r="E42" s="618"/>
      <c r="F42" s="618"/>
      <c r="G42" s="618"/>
      <c r="H42" s="618"/>
      <c r="I42" s="619"/>
    </row>
    <row r="43" spans="1:9" s="66" customFormat="1" ht="15" customHeight="1" x14ac:dyDescent="0.5">
      <c r="A43" s="2"/>
      <c r="B43" s="2"/>
      <c r="C43" s="2"/>
      <c r="D43" s="2"/>
      <c r="E43" s="2"/>
      <c r="F43" s="2"/>
      <c r="G43" s="2"/>
      <c r="H43" s="2"/>
      <c r="I43" s="2"/>
    </row>
    <row r="44" spans="1:9" ht="21" x14ac:dyDescent="0.25">
      <c r="A44" s="601" t="s">
        <v>241</v>
      </c>
      <c r="B44" s="602"/>
      <c r="C44" s="602"/>
      <c r="D44" s="602"/>
      <c r="E44" s="602"/>
      <c r="F44" s="602"/>
      <c r="G44" s="602"/>
      <c r="H44" s="602"/>
      <c r="I44" s="603"/>
    </row>
    <row r="45" spans="1:9" ht="15" customHeight="1" thickBot="1" x14ac:dyDescent="0.55000000000000004">
      <c r="A45" s="2"/>
      <c r="B45" s="2"/>
      <c r="C45" s="2"/>
      <c r="D45" s="2"/>
      <c r="E45" s="2"/>
      <c r="F45" s="2"/>
      <c r="G45" s="2"/>
      <c r="H45" s="2"/>
      <c r="I45" s="2"/>
    </row>
    <row r="46" spans="1:9" ht="27" thickBot="1" x14ac:dyDescent="0.45">
      <c r="A46" s="1" t="s">
        <v>0</v>
      </c>
      <c r="B46" s="609" t="s">
        <v>242</v>
      </c>
      <c r="C46" s="445"/>
      <c r="D46" s="445"/>
      <c r="E46" s="445"/>
      <c r="F46" s="445"/>
      <c r="G46" s="445"/>
      <c r="H46" s="446"/>
      <c r="I46" t="s">
        <v>192</v>
      </c>
    </row>
    <row r="47" spans="1:9" ht="15" customHeight="1" x14ac:dyDescent="0.25">
      <c r="B47" s="1" t="s">
        <v>201</v>
      </c>
      <c r="C47" t="s">
        <v>193</v>
      </c>
      <c r="H47" t="s">
        <v>194</v>
      </c>
    </row>
    <row r="48" spans="1:9" ht="15" customHeight="1" x14ac:dyDescent="0.25">
      <c r="B48" s="5" t="s">
        <v>243</v>
      </c>
      <c r="C48" t="s">
        <v>244</v>
      </c>
      <c r="H48" t="s">
        <v>245</v>
      </c>
    </row>
    <row r="49" spans="1:9" ht="15" customHeight="1" x14ac:dyDescent="0.25">
      <c r="B49" s="5" t="s">
        <v>124</v>
      </c>
      <c r="C49" t="s">
        <v>195</v>
      </c>
      <c r="H49" t="s">
        <v>196</v>
      </c>
    </row>
    <row r="50" spans="1:9" ht="15" customHeight="1" x14ac:dyDescent="0.25">
      <c r="B50" s="5" t="s">
        <v>197</v>
      </c>
      <c r="C50" t="s">
        <v>198</v>
      </c>
      <c r="E50" t="s">
        <v>200</v>
      </c>
      <c r="H50" t="s">
        <v>199</v>
      </c>
    </row>
    <row r="51" spans="1:9" ht="15" customHeight="1" x14ac:dyDescent="0.25">
      <c r="B51" s="1" t="s">
        <v>202</v>
      </c>
      <c r="C51" t="s">
        <v>203</v>
      </c>
      <c r="H51" t="s">
        <v>204</v>
      </c>
    </row>
    <row r="52" spans="1:9" ht="15" customHeight="1" x14ac:dyDescent="0.25">
      <c r="B52" s="1" t="s">
        <v>205</v>
      </c>
      <c r="C52" t="s">
        <v>206</v>
      </c>
      <c r="H52" t="s">
        <v>4</v>
      </c>
    </row>
    <row r="53" spans="1:9" s="64" customFormat="1" ht="15" customHeight="1" x14ac:dyDescent="0.4">
      <c r="A53"/>
      <c r="B53" s="1" t="s">
        <v>207</v>
      </c>
      <c r="C53" t="s">
        <v>209</v>
      </c>
      <c r="D53"/>
      <c r="E53"/>
      <c r="F53"/>
      <c r="G53"/>
      <c r="H53" t="s">
        <v>163</v>
      </c>
      <c r="I53"/>
    </row>
    <row r="54" spans="1:9" s="64" customFormat="1" ht="15" customHeight="1" x14ac:dyDescent="0.4">
      <c r="A54"/>
      <c r="B54" s="1" t="s">
        <v>208</v>
      </c>
      <c r="C54" t="s">
        <v>210</v>
      </c>
      <c r="D54"/>
      <c r="E54"/>
      <c r="F54"/>
      <c r="G54"/>
      <c r="H54" t="s">
        <v>170</v>
      </c>
      <c r="I54"/>
    </row>
    <row r="55" spans="1:9" ht="15" customHeight="1" x14ac:dyDescent="0.25"/>
    <row r="56" spans="1:9" s="66" customFormat="1" ht="15" customHeight="1" thickBot="1" x14ac:dyDescent="0.4">
      <c r="A56" t="s">
        <v>212</v>
      </c>
      <c r="B56" s="108" t="s">
        <v>213</v>
      </c>
      <c r="C56" s="109">
        <v>110</v>
      </c>
      <c r="D56" s="110" t="s">
        <v>215</v>
      </c>
      <c r="E56"/>
      <c r="F56"/>
      <c r="G56"/>
      <c r="H56"/>
      <c r="I56"/>
    </row>
    <row r="57" spans="1:9" ht="15" customHeight="1" thickBot="1" x14ac:dyDescent="0.3">
      <c r="B57" s="108" t="s">
        <v>214</v>
      </c>
      <c r="C57" s="109">
        <v>35</v>
      </c>
      <c r="D57" s="110" t="s">
        <v>215</v>
      </c>
      <c r="F57" s="620" t="s">
        <v>216</v>
      </c>
      <c r="G57" s="621"/>
      <c r="H57" s="93">
        <f>C56-C57</f>
        <v>75</v>
      </c>
      <c r="I57" s="94" t="s">
        <v>186</v>
      </c>
    </row>
    <row r="58" spans="1:9" ht="15" customHeight="1" x14ac:dyDescent="0.25">
      <c r="B58" s="111" t="s">
        <v>124</v>
      </c>
      <c r="C58" s="109">
        <v>1010</v>
      </c>
      <c r="D58" s="110" t="s">
        <v>196</v>
      </c>
      <c r="F58" s="622" t="s">
        <v>217</v>
      </c>
      <c r="G58" s="622"/>
      <c r="H58">
        <v>1010</v>
      </c>
      <c r="I58" t="s">
        <v>196</v>
      </c>
    </row>
    <row r="59" spans="1:9" ht="15" customHeight="1" x14ac:dyDescent="0.25">
      <c r="B59" s="111" t="s">
        <v>201</v>
      </c>
      <c r="C59" s="118">
        <f>IF(E59&gt;0,E59/3600,C61*C60)</f>
        <v>4.0500000000000001E-2</v>
      </c>
      <c r="D59" s="110" t="s">
        <v>194</v>
      </c>
      <c r="E59" s="3">
        <v>0</v>
      </c>
      <c r="F59" s="92" t="s">
        <v>223</v>
      </c>
      <c r="G59" s="101"/>
      <c r="H59" s="102"/>
    </row>
    <row r="60" spans="1:9" ht="15" customHeight="1" x14ac:dyDescent="0.25">
      <c r="B60" s="108" t="s">
        <v>205</v>
      </c>
      <c r="C60" s="109">
        <v>1.2</v>
      </c>
      <c r="D60" s="110" t="s">
        <v>4</v>
      </c>
      <c r="F60" s="623" t="s">
        <v>218</v>
      </c>
      <c r="G60" s="623"/>
      <c r="H60">
        <v>1.2</v>
      </c>
      <c r="I60" t="s">
        <v>4</v>
      </c>
    </row>
    <row r="61" spans="1:9" ht="15" customHeight="1" x14ac:dyDescent="0.25">
      <c r="B61" s="108" t="s">
        <v>202</v>
      </c>
      <c r="C61" s="118">
        <f>IF(E61&gt;0,E61/3600,IF(G61&gt;0,G61/1000,C62*SUM(G64:G65)))</f>
        <v>3.3750000000000002E-2</v>
      </c>
      <c r="D61" s="110" t="s">
        <v>204</v>
      </c>
      <c r="E61" s="3">
        <v>0</v>
      </c>
      <c r="F61" s="92" t="s">
        <v>122</v>
      </c>
      <c r="G61" s="105">
        <v>0</v>
      </c>
      <c r="H61" s="4" t="s">
        <v>224</v>
      </c>
    </row>
    <row r="62" spans="1:9" ht="15" customHeight="1" x14ac:dyDescent="0.25">
      <c r="B62" s="111" t="s">
        <v>208</v>
      </c>
      <c r="C62" s="109">
        <v>1.5</v>
      </c>
      <c r="D62" s="110" t="s">
        <v>170</v>
      </c>
      <c r="F62" s="95"/>
      <c r="G62" s="95"/>
    </row>
    <row r="63" spans="1:9" ht="15" customHeight="1" thickBot="1" x14ac:dyDescent="0.3">
      <c r="B63" s="111" t="s">
        <v>219</v>
      </c>
      <c r="C63" s="109">
        <v>0.15</v>
      </c>
      <c r="D63" s="110" t="s">
        <v>3</v>
      </c>
      <c r="F63" s="95"/>
      <c r="G63" s="95"/>
    </row>
    <row r="64" spans="1:9" ht="15" customHeight="1" x14ac:dyDescent="0.25">
      <c r="B64" s="111" t="s">
        <v>219</v>
      </c>
      <c r="C64" s="109">
        <v>0.15</v>
      </c>
      <c r="D64" s="110" t="s">
        <v>3</v>
      </c>
      <c r="F64" s="96" t="s">
        <v>221</v>
      </c>
      <c r="G64" s="103">
        <f>IF(C65=0,C63*C64," ")</f>
        <v>2.2499999999999999E-2</v>
      </c>
      <c r="H64" s="97" t="s">
        <v>163</v>
      </c>
    </row>
    <row r="65" spans="1:9" s="64" customFormat="1" ht="15" customHeight="1" thickBot="1" x14ac:dyDescent="0.45">
      <c r="A65"/>
      <c r="B65" s="111" t="s">
        <v>220</v>
      </c>
      <c r="C65" s="109">
        <v>0</v>
      </c>
      <c r="D65" s="110" t="s">
        <v>3</v>
      </c>
      <c r="E65"/>
      <c r="F65" s="98" t="s">
        <v>222</v>
      </c>
      <c r="G65" s="99" t="str">
        <f>IF(C63=0,3.14*(C65/2)*(C65/2)," ")</f>
        <v xml:space="preserve"> </v>
      </c>
      <c r="H65" s="100" t="s">
        <v>163</v>
      </c>
      <c r="I65"/>
    </row>
    <row r="66" spans="1:9" s="64" customFormat="1" ht="15" customHeight="1" thickBot="1" x14ac:dyDescent="0.45">
      <c r="A66"/>
      <c r="B66"/>
      <c r="C66"/>
      <c r="D66"/>
      <c r="E66"/>
      <c r="F66"/>
      <c r="G66"/>
      <c r="H66"/>
      <c r="I66"/>
    </row>
    <row r="67" spans="1:9" ht="27" thickBot="1" x14ac:dyDescent="0.45">
      <c r="A67" s="8"/>
      <c r="B67" s="62" t="s">
        <v>225</v>
      </c>
      <c r="C67" s="9" t="s">
        <v>8</v>
      </c>
      <c r="D67" s="616">
        <f>C59*C58*H57</f>
        <v>3067.875</v>
      </c>
      <c r="E67" s="616"/>
      <c r="F67" s="606" t="s">
        <v>192</v>
      </c>
      <c r="G67" s="607"/>
      <c r="H67" s="8"/>
      <c r="I67" s="8"/>
    </row>
    <row r="68" spans="1:9" ht="15" customHeight="1" thickBot="1" x14ac:dyDescent="0.3"/>
    <row r="69" spans="1:9" ht="34.5" thickBot="1" x14ac:dyDescent="0.55000000000000004">
      <c r="A69" s="449" t="s">
        <v>226</v>
      </c>
      <c r="B69" s="450"/>
      <c r="C69" s="450"/>
      <c r="D69" s="450"/>
      <c r="E69" s="450"/>
      <c r="F69" s="450"/>
      <c r="G69" s="450"/>
      <c r="H69" s="450"/>
      <c r="I69" s="451"/>
    </row>
    <row r="70" spans="1:9" ht="15" customHeight="1" thickBot="1" x14ac:dyDescent="0.3"/>
    <row r="71" spans="1:9" ht="27" thickBot="1" x14ac:dyDescent="0.45">
      <c r="A71" s="1" t="s">
        <v>0</v>
      </c>
      <c r="B71" s="609" t="s">
        <v>227</v>
      </c>
      <c r="C71" s="445"/>
      <c r="D71" s="445"/>
      <c r="E71" s="445"/>
      <c r="F71" s="445"/>
      <c r="G71" s="445"/>
      <c r="H71" s="446"/>
      <c r="I71" t="s">
        <v>228</v>
      </c>
    </row>
    <row r="72" spans="1:9" x14ac:dyDescent="0.25">
      <c r="B72" s="1" t="s">
        <v>229</v>
      </c>
      <c r="C72" t="s">
        <v>178</v>
      </c>
      <c r="H72" t="s">
        <v>192</v>
      </c>
    </row>
    <row r="73" spans="1:9" x14ac:dyDescent="0.25">
      <c r="B73" s="1" t="s">
        <v>231</v>
      </c>
      <c r="C73" t="s">
        <v>232</v>
      </c>
      <c r="H73" t="s">
        <v>230</v>
      </c>
    </row>
    <row r="75" spans="1:9" x14ac:dyDescent="0.25">
      <c r="A75" t="s">
        <v>212</v>
      </c>
      <c r="B75" s="90" t="s">
        <v>229</v>
      </c>
      <c r="C75" s="106">
        <f>D67</f>
        <v>3067.875</v>
      </c>
      <c r="D75" s="3" t="s">
        <v>192</v>
      </c>
    </row>
    <row r="76" spans="1:9" x14ac:dyDescent="0.25">
      <c r="B76" s="90" t="s">
        <v>231</v>
      </c>
      <c r="C76" s="3">
        <f>IF(E76&gt;0,E76*3600,G76*24*3600)</f>
        <v>3600</v>
      </c>
      <c r="D76" s="3" t="s">
        <v>230</v>
      </c>
      <c r="E76" s="3">
        <v>1</v>
      </c>
      <c r="F76" s="3" t="s">
        <v>233</v>
      </c>
      <c r="G76" s="3">
        <v>0</v>
      </c>
      <c r="H76" s="3" t="s">
        <v>234</v>
      </c>
    </row>
    <row r="77" spans="1:9" ht="15.75" thickBot="1" x14ac:dyDescent="0.3"/>
    <row r="78" spans="1:9" ht="27" thickBot="1" x14ac:dyDescent="0.45">
      <c r="B78" s="62" t="s">
        <v>235</v>
      </c>
      <c r="C78" s="9" t="s">
        <v>8</v>
      </c>
      <c r="D78" s="616">
        <f>C75*C76</f>
        <v>11044350</v>
      </c>
      <c r="E78" s="616"/>
      <c r="F78" s="606" t="s">
        <v>228</v>
      </c>
      <c r="G78" s="607"/>
    </row>
    <row r="79" spans="1:9" ht="27" thickBot="1" x14ac:dyDescent="0.45">
      <c r="D79" s="614">
        <f>D78/1000000</f>
        <v>11.04435</v>
      </c>
      <c r="E79" s="455"/>
      <c r="F79" s="606" t="s">
        <v>236</v>
      </c>
      <c r="G79" s="607"/>
    </row>
    <row r="80" spans="1:9" ht="27" thickBot="1" x14ac:dyDescent="0.45">
      <c r="D80" s="614">
        <f>D79/3.6</f>
        <v>3.0678749999999999</v>
      </c>
      <c r="E80" s="455"/>
      <c r="F80" s="606" t="s">
        <v>237</v>
      </c>
      <c r="G80" s="607"/>
    </row>
    <row r="81" spans="2:7" ht="15.75" thickBot="1" x14ac:dyDescent="0.3">
      <c r="B81" s="3" t="s">
        <v>238</v>
      </c>
      <c r="C81" s="3">
        <v>4.5</v>
      </c>
      <c r="D81" s="107" t="s">
        <v>239</v>
      </c>
    </row>
    <row r="82" spans="2:7" ht="27" thickBot="1" x14ac:dyDescent="0.45">
      <c r="D82" s="615">
        <f>D80*C81</f>
        <v>13.8054375</v>
      </c>
      <c r="E82" s="616"/>
      <c r="F82" s="606" t="s">
        <v>240</v>
      </c>
      <c r="G82" s="607"/>
    </row>
  </sheetData>
  <mergeCells count="35">
    <mergeCell ref="A1:I1"/>
    <mergeCell ref="A3:I3"/>
    <mergeCell ref="B5:H5"/>
    <mergeCell ref="D37:E37"/>
    <mergeCell ref="F37:G37"/>
    <mergeCell ref="F15:G15"/>
    <mergeCell ref="F18:G18"/>
    <mergeCell ref="A27:I27"/>
    <mergeCell ref="D36:E36"/>
    <mergeCell ref="F36:G36"/>
    <mergeCell ref="B29:H29"/>
    <mergeCell ref="D25:E25"/>
    <mergeCell ref="F25:G25"/>
    <mergeCell ref="D78:E78"/>
    <mergeCell ref="F78:G78"/>
    <mergeCell ref="D79:E79"/>
    <mergeCell ref="F79:G79"/>
    <mergeCell ref="A69:I69"/>
    <mergeCell ref="B71:H71"/>
    <mergeCell ref="D80:E80"/>
    <mergeCell ref="F80:G80"/>
    <mergeCell ref="D82:E82"/>
    <mergeCell ref="F82:G82"/>
    <mergeCell ref="D38:E38"/>
    <mergeCell ref="F38:G38"/>
    <mergeCell ref="D40:E40"/>
    <mergeCell ref="F40:G40"/>
    <mergeCell ref="A42:I42"/>
    <mergeCell ref="A44:I44"/>
    <mergeCell ref="B46:H46"/>
    <mergeCell ref="F57:G57"/>
    <mergeCell ref="F58:G58"/>
    <mergeCell ref="F60:G60"/>
    <mergeCell ref="D67:E67"/>
    <mergeCell ref="F67:G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23" sqref="G23"/>
    </sheetView>
  </sheetViews>
  <sheetFormatPr defaultRowHeight="15" x14ac:dyDescent="0.25"/>
  <cols>
    <col min="1" max="9" width="9.140625" style="115"/>
    <col min="11" max="11" width="10.5703125" bestFit="1" customWidth="1"/>
  </cols>
  <sheetData>
    <row r="1" spans="1:9" ht="34.5" thickBot="1" x14ac:dyDescent="0.3">
      <c r="A1" s="525" t="s">
        <v>692</v>
      </c>
      <c r="B1" s="526"/>
      <c r="C1" s="526"/>
      <c r="D1" s="526"/>
      <c r="E1" s="526"/>
      <c r="F1" s="526"/>
      <c r="G1" s="526"/>
      <c r="H1" s="526"/>
      <c r="I1" s="527"/>
    </row>
    <row r="2" spans="1:9" ht="10.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ht="18.75" customHeight="1" x14ac:dyDescent="0.25">
      <c r="A3" s="628" t="s">
        <v>722</v>
      </c>
      <c r="B3" s="628"/>
      <c r="C3" s="628"/>
      <c r="D3" s="628"/>
      <c r="E3" s="628"/>
      <c r="F3" s="628"/>
      <c r="G3" s="628"/>
      <c r="H3" s="628"/>
      <c r="I3" s="628"/>
    </row>
    <row r="4" spans="1:9" ht="10.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9" ht="26.25" x14ac:dyDescent="0.25">
      <c r="A5" s="191" t="s">
        <v>0</v>
      </c>
      <c r="B5" s="624" t="s">
        <v>695</v>
      </c>
      <c r="C5" s="625"/>
      <c r="D5" s="625"/>
      <c r="E5" s="625"/>
      <c r="F5" s="625"/>
      <c r="G5" s="625"/>
      <c r="H5" s="626"/>
    </row>
    <row r="6" spans="1:9" ht="26.25" x14ac:dyDescent="0.25">
      <c r="A6" s="191"/>
      <c r="B6" s="624" t="s">
        <v>793</v>
      </c>
      <c r="C6" s="625"/>
      <c r="D6" s="625"/>
      <c r="E6" s="625"/>
      <c r="F6" s="625"/>
      <c r="G6" s="625"/>
      <c r="H6" s="626"/>
    </row>
    <row r="7" spans="1:9" s="102" customFormat="1" ht="11.25" customHeight="1" thickBot="1" x14ac:dyDescent="0.3">
      <c r="A7" s="300"/>
      <c r="B7" s="301"/>
      <c r="C7" s="301"/>
      <c r="D7" s="301"/>
      <c r="E7" s="301"/>
      <c r="F7" s="301"/>
      <c r="G7" s="301"/>
      <c r="H7" s="301"/>
      <c r="I7" s="302"/>
    </row>
    <row r="8" spans="1:9" ht="34.5" thickBot="1" x14ac:dyDescent="0.3">
      <c r="A8" s="525" t="s">
        <v>693</v>
      </c>
      <c r="B8" s="526"/>
      <c r="C8" s="526"/>
      <c r="D8" s="526"/>
      <c r="E8" s="526"/>
      <c r="F8" s="526"/>
      <c r="G8" s="526"/>
      <c r="H8" s="526"/>
      <c r="I8" s="527"/>
    </row>
    <row r="9" spans="1:9" s="102" customFormat="1" ht="11.25" customHeight="1" x14ac:dyDescent="0.25">
      <c r="A9" s="300"/>
      <c r="B9" s="364"/>
      <c r="C9" s="364"/>
      <c r="D9" s="364"/>
      <c r="E9" s="364"/>
      <c r="F9" s="364"/>
      <c r="G9" s="364"/>
      <c r="H9" s="364"/>
      <c r="I9" s="302"/>
    </row>
    <row r="10" spans="1:9" s="102" customFormat="1" ht="18.75" customHeight="1" x14ac:dyDescent="0.25">
      <c r="A10" s="627" t="s">
        <v>694</v>
      </c>
      <c r="B10" s="627"/>
      <c r="C10" s="627"/>
      <c r="D10" s="627"/>
      <c r="E10" s="627"/>
      <c r="F10" s="627"/>
      <c r="G10" s="627"/>
      <c r="H10" s="627"/>
      <c r="I10" s="627"/>
    </row>
    <row r="11" spans="1:9" s="102" customFormat="1" ht="11.25" customHeight="1" x14ac:dyDescent="0.25">
      <c r="A11" s="300"/>
      <c r="B11" s="365"/>
      <c r="C11" s="365"/>
      <c r="D11" s="365"/>
      <c r="E11" s="365"/>
      <c r="F11" s="365"/>
      <c r="G11" s="365"/>
      <c r="H11" s="365"/>
      <c r="I11" s="302"/>
    </row>
    <row r="12" spans="1:9" ht="26.25" x14ac:dyDescent="0.25">
      <c r="A12" s="191"/>
      <c r="B12" s="624" t="s">
        <v>696</v>
      </c>
      <c r="C12" s="625"/>
      <c r="D12" s="625"/>
      <c r="E12" s="625"/>
      <c r="F12" s="625"/>
      <c r="G12" s="625"/>
      <c r="H12" s="626"/>
    </row>
    <row r="13" spans="1:9" ht="18" customHeight="1" x14ac:dyDescent="0.25">
      <c r="B13" s="357" t="s">
        <v>697</v>
      </c>
      <c r="C13" s="540" t="s">
        <v>698</v>
      </c>
      <c r="D13" s="540"/>
      <c r="E13" s="540"/>
      <c r="F13" s="540"/>
      <c r="G13" s="540"/>
      <c r="H13" s="115" t="s">
        <v>699</v>
      </c>
    </row>
    <row r="14" spans="1:9" ht="18" customHeight="1" x14ac:dyDescent="0.25">
      <c r="B14" s="357" t="s">
        <v>124</v>
      </c>
      <c r="C14" s="540" t="s">
        <v>195</v>
      </c>
      <c r="D14" s="540"/>
      <c r="E14" s="540"/>
      <c r="F14" s="540"/>
      <c r="G14" s="540"/>
      <c r="H14" s="115" t="s">
        <v>196</v>
      </c>
    </row>
    <row r="15" spans="1:9" ht="18" customHeight="1" x14ac:dyDescent="0.25">
      <c r="B15" s="357" t="s">
        <v>404</v>
      </c>
      <c r="C15" s="540" t="s">
        <v>637</v>
      </c>
      <c r="D15" s="540"/>
      <c r="E15" s="540"/>
      <c r="F15" s="540"/>
      <c r="G15" s="540"/>
      <c r="H15" s="115" t="s">
        <v>638</v>
      </c>
    </row>
    <row r="16" spans="1:9" ht="18" customHeight="1" x14ac:dyDescent="0.25">
      <c r="B16" s="357" t="s">
        <v>229</v>
      </c>
      <c r="C16" s="540" t="s">
        <v>700</v>
      </c>
      <c r="D16" s="540"/>
      <c r="E16" s="540"/>
      <c r="F16" s="540"/>
      <c r="G16" s="540"/>
      <c r="H16" s="115" t="s">
        <v>228</v>
      </c>
    </row>
    <row r="17" spans="1:11" ht="18" customHeight="1" x14ac:dyDescent="0.25">
      <c r="B17" s="67" t="s">
        <v>701</v>
      </c>
      <c r="C17" s="540" t="s">
        <v>198</v>
      </c>
      <c r="D17" s="540"/>
      <c r="E17" s="540"/>
      <c r="F17" s="540"/>
      <c r="G17" s="540"/>
      <c r="H17" s="115" t="s">
        <v>186</v>
      </c>
    </row>
    <row r="18" spans="1:11" ht="18" customHeight="1" x14ac:dyDescent="0.25">
      <c r="B18" s="67" t="s">
        <v>702</v>
      </c>
      <c r="C18" s="633" t="s">
        <v>795</v>
      </c>
      <c r="D18" s="634"/>
      <c r="E18" s="634"/>
      <c r="F18" s="634"/>
      <c r="G18" s="634"/>
      <c r="H18" s="115" t="s">
        <v>4</v>
      </c>
    </row>
    <row r="19" spans="1:11" ht="10.5" customHeight="1" x14ac:dyDescent="0.25"/>
    <row r="20" spans="1:11" ht="18" customHeight="1" x14ac:dyDescent="0.25">
      <c r="A20" s="191" t="s">
        <v>212</v>
      </c>
      <c r="B20" s="529" t="s">
        <v>404</v>
      </c>
      <c r="C20" s="529"/>
      <c r="D20" s="433">
        <f>F20/1000</f>
        <v>4.0000000000000009</v>
      </c>
      <c r="E20" s="110" t="s">
        <v>638</v>
      </c>
      <c r="F20" s="429">
        <f>H20*1000</f>
        <v>4000.0000000000009</v>
      </c>
      <c r="G20" s="110" t="s">
        <v>661</v>
      </c>
      <c r="H20" s="432">
        <f>IF(E22&gt;0,I22*G22*E22*E23,IF(E21&gt;0,PI()*(G21/2)*(G21/2)*E21*E23,0))</f>
        <v>4.0000000000000009</v>
      </c>
      <c r="I20" s="110" t="s">
        <v>638</v>
      </c>
    </row>
    <row r="21" spans="1:11" ht="18" customHeight="1" x14ac:dyDescent="0.25">
      <c r="A21" s="191"/>
      <c r="B21" s="549"/>
      <c r="C21" s="638"/>
      <c r="D21" s="426" t="s">
        <v>119</v>
      </c>
      <c r="E21" s="429">
        <v>1</v>
      </c>
      <c r="F21" s="356" t="s">
        <v>273</v>
      </c>
      <c r="G21" s="430">
        <v>0.3</v>
      </c>
      <c r="H21" s="566" t="s">
        <v>650</v>
      </c>
      <c r="I21" s="550"/>
      <c r="K21" s="332"/>
    </row>
    <row r="22" spans="1:11" ht="18" customHeight="1" x14ac:dyDescent="0.25">
      <c r="A22" s="191"/>
      <c r="B22" s="416"/>
      <c r="C22" s="427"/>
      <c r="D22" s="426" t="s">
        <v>119</v>
      </c>
      <c r="E22" s="429">
        <v>1</v>
      </c>
      <c r="F22" s="356" t="s">
        <v>648</v>
      </c>
      <c r="G22" s="299">
        <v>0.1</v>
      </c>
      <c r="H22" s="356" t="s">
        <v>649</v>
      </c>
      <c r="I22" s="299">
        <v>0.1</v>
      </c>
    </row>
    <row r="23" spans="1:11" ht="18" customHeight="1" x14ac:dyDescent="0.25">
      <c r="A23" s="191"/>
      <c r="B23" s="420"/>
      <c r="C23" s="428"/>
      <c r="D23" s="426" t="s">
        <v>206</v>
      </c>
      <c r="E23" s="429">
        <v>400</v>
      </c>
      <c r="F23" s="415" t="s">
        <v>4</v>
      </c>
      <c r="G23" s="416"/>
      <c r="H23" s="416"/>
      <c r="I23" s="416"/>
    </row>
    <row r="24" spans="1:11" ht="18" customHeight="1" x14ac:dyDescent="0.25">
      <c r="B24" s="533" t="s">
        <v>124</v>
      </c>
      <c r="C24" s="534"/>
      <c r="D24" s="418">
        <v>1800</v>
      </c>
      <c r="E24" s="110" t="s">
        <v>196</v>
      </c>
      <c r="F24" s="306"/>
      <c r="G24" s="307"/>
      <c r="H24" s="195"/>
      <c r="I24"/>
    </row>
    <row r="25" spans="1:11" ht="18" customHeight="1" x14ac:dyDescent="0.25">
      <c r="B25" s="533" t="s">
        <v>2</v>
      </c>
      <c r="C25" s="534"/>
      <c r="D25" s="419">
        <v>9.81</v>
      </c>
      <c r="E25" s="110" t="s">
        <v>645</v>
      </c>
      <c r="F25" s="306"/>
      <c r="G25" s="307"/>
      <c r="H25" s="195"/>
      <c r="I25"/>
    </row>
    <row r="26" spans="1:11" ht="10.5" customHeight="1" x14ac:dyDescent="0.25">
      <c r="B26"/>
      <c r="G26"/>
      <c r="H26"/>
      <c r="I26"/>
    </row>
    <row r="27" spans="1:11" s="8" customFormat="1" ht="26.25" x14ac:dyDescent="0.3">
      <c r="B27" s="629" t="s">
        <v>697</v>
      </c>
      <c r="C27" s="630"/>
      <c r="D27" s="630"/>
      <c r="E27" s="631">
        <f>D20*D24</f>
        <v>7200.0000000000018</v>
      </c>
      <c r="F27" s="631"/>
      <c r="G27" s="631"/>
      <c r="H27" s="630" t="s">
        <v>699</v>
      </c>
      <c r="I27" s="632"/>
    </row>
    <row r="28" spans="1:11" s="8" customFormat="1" ht="26.25" x14ac:dyDescent="0.3">
      <c r="B28" s="250"/>
      <c r="C28" s="250"/>
      <c r="D28" s="250"/>
      <c r="E28" s="631">
        <f>E27/3600</f>
        <v>2.0000000000000004</v>
      </c>
      <c r="F28" s="631"/>
      <c r="G28" s="631"/>
      <c r="H28" s="630" t="s">
        <v>790</v>
      </c>
      <c r="I28" s="632"/>
    </row>
    <row r="29" spans="1:11" ht="10.5" customHeight="1" x14ac:dyDescent="0.25">
      <c r="E29" s="303"/>
      <c r="F29" s="303"/>
      <c r="G29" s="303"/>
    </row>
    <row r="30" spans="1:11" ht="18" customHeight="1" x14ac:dyDescent="0.25">
      <c r="A30" s="191" t="s">
        <v>212</v>
      </c>
      <c r="B30" s="529" t="s">
        <v>701</v>
      </c>
      <c r="C30" s="529"/>
      <c r="D30" s="423">
        <f>G31-G30</f>
        <v>128</v>
      </c>
      <c r="E30" s="110" t="s">
        <v>10</v>
      </c>
      <c r="F30" s="417" t="s">
        <v>791</v>
      </c>
      <c r="G30" s="226">
        <v>22</v>
      </c>
      <c r="H30" s="110" t="s">
        <v>10</v>
      </c>
    </row>
    <row r="31" spans="1:11" ht="18" customHeight="1" x14ac:dyDescent="0.25">
      <c r="A31" s="191"/>
      <c r="B31" s="643"/>
      <c r="C31" s="643"/>
      <c r="D31" s="421"/>
      <c r="E31" s="422"/>
      <c r="F31" s="415" t="s">
        <v>792</v>
      </c>
      <c r="G31" s="423">
        <v>150</v>
      </c>
      <c r="H31" s="110" t="s">
        <v>10</v>
      </c>
      <c r="I31" s="431"/>
      <c r="K31" s="332"/>
    </row>
    <row r="32" spans="1:11" ht="10.5" customHeight="1" x14ac:dyDescent="0.25">
      <c r="E32" s="303"/>
      <c r="F32" s="303"/>
      <c r="G32" s="303"/>
    </row>
    <row r="33" spans="1:9" s="8" customFormat="1" ht="26.25" x14ac:dyDescent="0.3">
      <c r="B33" s="629" t="s">
        <v>229</v>
      </c>
      <c r="C33" s="630"/>
      <c r="D33" s="630"/>
      <c r="E33" s="631">
        <f>E27*D30</f>
        <v>921600.00000000023</v>
      </c>
      <c r="F33" s="631"/>
      <c r="G33" s="631"/>
      <c r="H33" s="630" t="s">
        <v>228</v>
      </c>
      <c r="I33" s="632"/>
    </row>
    <row r="34" spans="1:9" ht="29.25" customHeight="1" x14ac:dyDescent="0.25">
      <c r="E34" s="631">
        <f>E33/3600</f>
        <v>256.00000000000006</v>
      </c>
      <c r="F34" s="631"/>
      <c r="G34" s="631"/>
      <c r="H34" s="630" t="s">
        <v>794</v>
      </c>
      <c r="I34" s="632"/>
    </row>
    <row r="35" spans="1:9" ht="10.5" customHeight="1" x14ac:dyDescent="0.25"/>
    <row r="36" spans="1:9" ht="18" customHeight="1" x14ac:dyDescent="0.25">
      <c r="A36" s="191" t="s">
        <v>212</v>
      </c>
      <c r="B36" s="533" t="s">
        <v>229</v>
      </c>
      <c r="C36" s="534"/>
      <c r="D36" s="418">
        <f>F36*3600</f>
        <v>7200000</v>
      </c>
      <c r="E36" s="110" t="s">
        <v>228</v>
      </c>
      <c r="F36" s="418">
        <v>2000</v>
      </c>
      <c r="G36" s="110" t="s">
        <v>794</v>
      </c>
      <c r="H36" s="195"/>
      <c r="I36"/>
    </row>
    <row r="37" spans="1:9" ht="10.5" customHeight="1" x14ac:dyDescent="0.25">
      <c r="B37" s="414"/>
      <c r="C37" s="414"/>
      <c r="D37" s="425"/>
      <c r="E37" s="258"/>
      <c r="F37" s="424"/>
      <c r="G37" s="307"/>
      <c r="H37" s="195"/>
      <c r="I37"/>
    </row>
    <row r="38" spans="1:9" s="8" customFormat="1" ht="26.25" x14ac:dyDescent="0.3">
      <c r="B38" s="629" t="s">
        <v>701</v>
      </c>
      <c r="C38" s="630"/>
      <c r="D38" s="630"/>
      <c r="E38" s="631">
        <f>D36/E27</f>
        <v>999.99999999999977</v>
      </c>
      <c r="F38" s="631"/>
      <c r="G38" s="631"/>
      <c r="H38" s="630" t="s">
        <v>10</v>
      </c>
      <c r="I38" s="632"/>
    </row>
    <row r="39" spans="1:9" ht="10.5" customHeight="1" x14ac:dyDescent="0.25">
      <c r="B39" s="414"/>
      <c r="C39" s="414"/>
      <c r="D39" s="425"/>
      <c r="E39" s="258"/>
      <c r="F39" s="424"/>
      <c r="G39" s="307"/>
      <c r="H39" s="195"/>
      <c r="I39"/>
    </row>
    <row r="40" spans="1:9" ht="18" customHeight="1" x14ac:dyDescent="0.25">
      <c r="B40" s="414"/>
      <c r="C40" s="414"/>
      <c r="D40" s="425"/>
      <c r="E40" s="258"/>
      <c r="F40" s="424"/>
      <c r="G40" s="307"/>
      <c r="H40" s="195"/>
      <c r="I40"/>
    </row>
    <row r="41" spans="1:9" ht="18" customHeight="1" x14ac:dyDescent="0.25">
      <c r="B41" s="414"/>
      <c r="C41" s="414"/>
      <c r="D41" s="425"/>
      <c r="E41" s="258"/>
      <c r="F41" s="424"/>
      <c r="G41" s="307"/>
      <c r="H41" s="195"/>
      <c r="I41"/>
    </row>
    <row r="42" spans="1:9" ht="18" customHeight="1" x14ac:dyDescent="0.25">
      <c r="B42" s="414"/>
      <c r="C42" s="414"/>
      <c r="D42" s="425"/>
      <c r="E42" s="258"/>
      <c r="F42" s="424"/>
      <c r="G42" s="307"/>
      <c r="H42" s="195"/>
      <c r="I42"/>
    </row>
    <row r="43" spans="1:9" ht="18" customHeight="1" x14ac:dyDescent="0.25">
      <c r="B43" s="414"/>
      <c r="C43" s="414"/>
      <c r="D43" s="425"/>
      <c r="E43" s="258"/>
      <c r="F43" s="424"/>
      <c r="G43" s="307"/>
      <c r="H43" s="195"/>
      <c r="I43"/>
    </row>
    <row r="44" spans="1:9" ht="19.5" thickBot="1" x14ac:dyDescent="0.3">
      <c r="A44" s="166" t="s">
        <v>703</v>
      </c>
    </row>
    <row r="45" spans="1:9" x14ac:dyDescent="0.25">
      <c r="C45" s="366" t="s">
        <v>704</v>
      </c>
      <c r="D45" s="367" t="s">
        <v>706</v>
      </c>
      <c r="E45" s="368" t="s">
        <v>708</v>
      </c>
      <c r="F45" s="641" t="s">
        <v>716</v>
      </c>
      <c r="G45" s="641"/>
      <c r="H45" s="641" t="s">
        <v>719</v>
      </c>
      <c r="I45" s="642"/>
    </row>
    <row r="46" spans="1:9" ht="15.75" thickBot="1" x14ac:dyDescent="0.3">
      <c r="C46" s="370" t="s">
        <v>705</v>
      </c>
      <c r="D46" s="358" t="s">
        <v>707</v>
      </c>
      <c r="E46" s="358" t="s">
        <v>709</v>
      </c>
      <c r="F46" s="542" t="s">
        <v>717</v>
      </c>
      <c r="G46" s="542"/>
      <c r="H46" s="358" t="s">
        <v>720</v>
      </c>
      <c r="I46" s="371" t="s">
        <v>721</v>
      </c>
    </row>
    <row r="47" spans="1:9" ht="17.25" x14ac:dyDescent="0.25">
      <c r="A47" s="636" t="s">
        <v>710</v>
      </c>
      <c r="B47" s="637"/>
      <c r="C47" s="372">
        <v>0.2</v>
      </c>
      <c r="D47" s="372">
        <v>1000</v>
      </c>
      <c r="E47" s="372">
        <v>1.2</v>
      </c>
      <c r="F47" s="378">
        <f t="shared" ref="F47:F55" si="0">D47*E47/1000</f>
        <v>1.2</v>
      </c>
      <c r="G47" s="381" t="s">
        <v>718</v>
      </c>
      <c r="H47" s="373">
        <f t="shared" ref="H47:H55" si="1">F47*100</f>
        <v>120</v>
      </c>
      <c r="I47" s="374">
        <f t="shared" ref="I47:I55" si="2">H47/3600</f>
        <v>3.3333333333333333E-2</v>
      </c>
    </row>
    <row r="48" spans="1:9" ht="17.25" x14ac:dyDescent="0.25">
      <c r="A48" s="635" t="s">
        <v>711</v>
      </c>
      <c r="B48" s="563"/>
      <c r="C48" s="359">
        <v>0.21</v>
      </c>
      <c r="D48" s="359">
        <v>840</v>
      </c>
      <c r="E48" s="359">
        <v>580</v>
      </c>
      <c r="F48" s="379">
        <f t="shared" si="0"/>
        <v>487.2</v>
      </c>
      <c r="G48" s="280" t="s">
        <v>718</v>
      </c>
      <c r="H48" s="356">
        <f t="shared" si="1"/>
        <v>48720</v>
      </c>
      <c r="I48" s="375">
        <f t="shared" si="2"/>
        <v>13.533333333333333</v>
      </c>
    </row>
    <row r="49" spans="1:9" ht="17.25" x14ac:dyDescent="0.25">
      <c r="A49" s="635" t="s">
        <v>712</v>
      </c>
      <c r="B49" s="563"/>
      <c r="C49" s="359">
        <v>1.3</v>
      </c>
      <c r="D49" s="359">
        <v>1020</v>
      </c>
      <c r="E49" s="359">
        <v>2200</v>
      </c>
      <c r="F49" s="379">
        <f t="shared" si="0"/>
        <v>2244</v>
      </c>
      <c r="G49" s="280" t="s">
        <v>718</v>
      </c>
      <c r="H49" s="356">
        <f t="shared" si="1"/>
        <v>224400</v>
      </c>
      <c r="I49" s="375">
        <f t="shared" si="2"/>
        <v>62.333333333333336</v>
      </c>
    </row>
    <row r="50" spans="1:9" ht="17.25" x14ac:dyDescent="0.25">
      <c r="A50" s="635" t="s">
        <v>412</v>
      </c>
      <c r="B50" s="563"/>
      <c r="C50" s="359">
        <v>0.25</v>
      </c>
      <c r="D50" s="359">
        <v>1800</v>
      </c>
      <c r="E50" s="359">
        <v>400</v>
      </c>
      <c r="F50" s="379">
        <f t="shared" si="0"/>
        <v>720</v>
      </c>
      <c r="G50" s="280" t="s">
        <v>718</v>
      </c>
      <c r="H50" s="356">
        <f t="shared" si="1"/>
        <v>72000</v>
      </c>
      <c r="I50" s="375">
        <f t="shared" si="2"/>
        <v>20</v>
      </c>
    </row>
    <row r="51" spans="1:9" ht="17.25" x14ac:dyDescent="0.25">
      <c r="A51" s="635" t="s">
        <v>368</v>
      </c>
      <c r="B51" s="563"/>
      <c r="C51" s="359">
        <v>6.5000000000000002E-2</v>
      </c>
      <c r="D51" s="359">
        <v>960</v>
      </c>
      <c r="E51" s="359">
        <v>100</v>
      </c>
      <c r="F51" s="379">
        <f t="shared" si="0"/>
        <v>96</v>
      </c>
      <c r="G51" s="280" t="s">
        <v>718</v>
      </c>
      <c r="H51" s="356">
        <f t="shared" si="1"/>
        <v>9600</v>
      </c>
      <c r="I51" s="375">
        <f t="shared" si="2"/>
        <v>2.6666666666666665</v>
      </c>
    </row>
    <row r="52" spans="1:9" ht="17.25" x14ac:dyDescent="0.25">
      <c r="A52" s="635" t="s">
        <v>713</v>
      </c>
      <c r="B52" s="563"/>
      <c r="C52" s="359">
        <v>0.22</v>
      </c>
      <c r="D52" s="359">
        <v>1060</v>
      </c>
      <c r="E52" s="359">
        <v>750</v>
      </c>
      <c r="F52" s="379">
        <f t="shared" si="0"/>
        <v>795</v>
      </c>
      <c r="G52" s="280" t="s">
        <v>718</v>
      </c>
      <c r="H52" s="356">
        <f t="shared" si="1"/>
        <v>79500</v>
      </c>
      <c r="I52" s="375">
        <f t="shared" si="2"/>
        <v>22.083333333333332</v>
      </c>
    </row>
    <row r="53" spans="1:9" ht="17.25" x14ac:dyDescent="0.25">
      <c r="A53" s="635" t="s">
        <v>677</v>
      </c>
      <c r="B53" s="563"/>
      <c r="C53" s="359">
        <v>50</v>
      </c>
      <c r="D53" s="359">
        <v>440</v>
      </c>
      <c r="E53" s="359">
        <v>7850</v>
      </c>
      <c r="F53" s="379">
        <f t="shared" si="0"/>
        <v>3454</v>
      </c>
      <c r="G53" s="280" t="s">
        <v>718</v>
      </c>
      <c r="H53" s="356">
        <f t="shared" si="1"/>
        <v>345400</v>
      </c>
      <c r="I53" s="375">
        <f t="shared" si="2"/>
        <v>95.944444444444443</v>
      </c>
    </row>
    <row r="54" spans="1:9" ht="17.25" x14ac:dyDescent="0.25">
      <c r="A54" s="635" t="s">
        <v>714</v>
      </c>
      <c r="B54" s="563"/>
      <c r="C54" s="359">
        <v>0.64</v>
      </c>
      <c r="D54" s="359">
        <v>920</v>
      </c>
      <c r="E54" s="359">
        <v>1400</v>
      </c>
      <c r="F54" s="379">
        <f t="shared" si="0"/>
        <v>1288</v>
      </c>
      <c r="G54" s="280" t="s">
        <v>718</v>
      </c>
      <c r="H54" s="356">
        <f t="shared" si="1"/>
        <v>128800</v>
      </c>
      <c r="I54" s="375">
        <f t="shared" si="2"/>
        <v>35.777777777777779</v>
      </c>
    </row>
    <row r="55" spans="1:9" ht="18" thickBot="1" x14ac:dyDescent="0.3">
      <c r="A55" s="639" t="s">
        <v>715</v>
      </c>
      <c r="B55" s="640"/>
      <c r="C55" s="376">
        <v>7.0000000000000007E-2</v>
      </c>
      <c r="D55" s="376">
        <v>840</v>
      </c>
      <c r="E55" s="376">
        <v>250</v>
      </c>
      <c r="F55" s="380">
        <f t="shared" si="0"/>
        <v>210</v>
      </c>
      <c r="G55" s="382" t="s">
        <v>718</v>
      </c>
      <c r="H55" s="369">
        <f t="shared" si="1"/>
        <v>21000</v>
      </c>
      <c r="I55" s="377">
        <f t="shared" si="2"/>
        <v>5.833333333333333</v>
      </c>
    </row>
  </sheetData>
  <mergeCells count="46">
    <mergeCell ref="H28:I28"/>
    <mergeCell ref="B30:C30"/>
    <mergeCell ref="B31:C31"/>
    <mergeCell ref="B36:C36"/>
    <mergeCell ref="A51:B51"/>
    <mergeCell ref="A52:B52"/>
    <mergeCell ref="A53:B53"/>
    <mergeCell ref="A54:B54"/>
    <mergeCell ref="A55:B55"/>
    <mergeCell ref="H33:I33"/>
    <mergeCell ref="E34:G34"/>
    <mergeCell ref="H34:I34"/>
    <mergeCell ref="H45:I45"/>
    <mergeCell ref="F46:G46"/>
    <mergeCell ref="F45:G45"/>
    <mergeCell ref="E38:G38"/>
    <mergeCell ref="H38:I38"/>
    <mergeCell ref="C18:G18"/>
    <mergeCell ref="B20:C20"/>
    <mergeCell ref="C17:G17"/>
    <mergeCell ref="A49:B49"/>
    <mergeCell ref="A50:B50"/>
    <mergeCell ref="B33:D33"/>
    <mergeCell ref="E33:G33"/>
    <mergeCell ref="A47:B47"/>
    <mergeCell ref="A48:B48"/>
    <mergeCell ref="B21:C21"/>
    <mergeCell ref="B24:C24"/>
    <mergeCell ref="E28:G28"/>
    <mergeCell ref="B38:D38"/>
    <mergeCell ref="H21:I21"/>
    <mergeCell ref="B25:C25"/>
    <mergeCell ref="B27:D27"/>
    <mergeCell ref="E27:G27"/>
    <mergeCell ref="H27:I27"/>
    <mergeCell ref="A1:I1"/>
    <mergeCell ref="B5:H5"/>
    <mergeCell ref="B12:H12"/>
    <mergeCell ref="C13:G13"/>
    <mergeCell ref="C16:G16"/>
    <mergeCell ref="A10:I10"/>
    <mergeCell ref="A3:I3"/>
    <mergeCell ref="A8:I8"/>
    <mergeCell ref="C14:G14"/>
    <mergeCell ref="C15:G15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Výšky</vt:lpstr>
      <vt:lpstr>Tepelný odpor</vt:lpstr>
      <vt:lpstr>Teploty</vt:lpstr>
      <vt:lpstr>Tah</vt:lpstr>
      <vt:lpstr>Rychlost</vt:lpstr>
      <vt:lpstr>Objem vzduchu a spalin</vt:lpstr>
      <vt:lpstr>TPG 704 01</vt:lpstr>
      <vt:lpstr>Výkon vzduchu</vt:lpstr>
      <vt:lpstr>Tepelná kapacita</vt:lpstr>
      <vt:lpstr>Spalovací rovnice dřeva</vt:lpstr>
      <vt:lpstr>Přepočet ppm</vt:lpstr>
      <vt:lpstr>Tlak</vt:lpstr>
      <vt:lpstr>Dilatace</vt:lpstr>
      <vt:lpstr>Kruh x čtverec</vt:lpstr>
      <vt:lpstr>Ind.komín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2019-02-22T13:41:50Z</dcterms:modified>
</cp:coreProperties>
</file>